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202300"/>
  <mc:AlternateContent xmlns:mc="http://schemas.openxmlformats.org/markup-compatibility/2006">
    <mc:Choice Requires="x15">
      <x15ac:absPath xmlns:x15ac="http://schemas.microsoft.com/office/spreadsheetml/2010/11/ac" url="https://d.docs.live.net/1575c0c94ea23de8/Emlurb/Projetos/Transparência e Tribunal de Contas/Mapa Demonstrativo de Obras/"/>
    </mc:Choice>
  </mc:AlternateContent>
  <xr:revisionPtr revIDLastSave="0" documentId="8_{710A27AB-0F9F-448E-A818-A15547B33EF2}" xr6:coauthVersionLast="47" xr6:coauthVersionMax="47" xr10:uidLastSave="{00000000-0000-0000-0000-000000000000}"/>
  <bookViews>
    <workbookView xWindow="-120" yWindow="-120" windowWidth="20730" windowHeight="11040" xr2:uid="{B8B0A1E2-1554-42CF-82F4-D6D9F3577546}"/>
  </bookViews>
  <sheets>
    <sheet name="2º TRIMESTRE" sheetId="1" r:id="rId1"/>
  </sheets>
  <externalReferences>
    <externalReference r:id="rId2"/>
  </externalReferences>
  <definedNames>
    <definedName name="_xlnm._FilterDatabase" localSheetId="0" hidden="1">'2º TRIMESTRE'!$A$7:$AI$172</definedName>
    <definedName name="_xlnm.Print_Area" localSheetId="0">'2º TRIMESTRE'!$A$1:$V$172</definedName>
    <definedName name="_xlnm.Print_Titles" localSheetId="0">'2º TRIMESTRE'!$1:$7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172" i="1" l="1"/>
  <c r="T172" i="1"/>
  <c r="Q172" i="1"/>
  <c r="P172" i="1"/>
  <c r="O172" i="1"/>
  <c r="N172" i="1"/>
  <c r="M172" i="1"/>
  <c r="U171" i="1"/>
  <c r="T171" i="1"/>
  <c r="Q171" i="1"/>
  <c r="P171" i="1"/>
  <c r="O171" i="1"/>
  <c r="N171" i="1"/>
  <c r="M171" i="1"/>
  <c r="U170" i="1"/>
  <c r="T170" i="1"/>
  <c r="P170" i="1"/>
  <c r="O170" i="1"/>
  <c r="N170" i="1"/>
  <c r="M170" i="1"/>
  <c r="U169" i="1"/>
  <c r="T169" i="1"/>
  <c r="Q169" i="1"/>
  <c r="P169" i="1"/>
  <c r="O169" i="1"/>
  <c r="N169" i="1"/>
  <c r="M169" i="1"/>
  <c r="U168" i="1"/>
  <c r="T168" i="1"/>
  <c r="Q168" i="1"/>
  <c r="P168" i="1"/>
  <c r="O168" i="1"/>
  <c r="N168" i="1"/>
  <c r="M168" i="1"/>
  <c r="U167" i="1"/>
  <c r="T167" i="1"/>
  <c r="Q167" i="1"/>
  <c r="P167" i="1"/>
  <c r="O167" i="1"/>
  <c r="N167" i="1"/>
  <c r="M167" i="1"/>
  <c r="U166" i="1"/>
  <c r="T166" i="1"/>
  <c r="Q166" i="1"/>
  <c r="P166" i="1"/>
  <c r="O166" i="1"/>
  <c r="N166" i="1"/>
  <c r="M166" i="1"/>
  <c r="U165" i="1"/>
  <c r="T165" i="1"/>
  <c r="P165" i="1"/>
  <c r="O165" i="1"/>
  <c r="N165" i="1"/>
  <c r="M165" i="1"/>
  <c r="U164" i="1"/>
  <c r="T164" i="1"/>
  <c r="Q164" i="1"/>
  <c r="P164" i="1"/>
  <c r="O164" i="1"/>
  <c r="N164" i="1"/>
  <c r="M164" i="1" s="1"/>
  <c r="U163" i="1"/>
  <c r="T163" i="1"/>
  <c r="P163" i="1"/>
  <c r="O163" i="1"/>
  <c r="N163" i="1"/>
  <c r="M163" i="1"/>
  <c r="U162" i="1"/>
  <c r="T162" i="1"/>
  <c r="Q162" i="1"/>
  <c r="P162" i="1"/>
  <c r="O162" i="1"/>
  <c r="N162" i="1"/>
  <c r="M162" i="1"/>
  <c r="U161" i="1"/>
  <c r="T161" i="1"/>
  <c r="Q161" i="1"/>
  <c r="P161" i="1"/>
  <c r="O161" i="1"/>
  <c r="N161" i="1"/>
  <c r="M161" i="1"/>
  <c r="U160" i="1"/>
  <c r="T160" i="1"/>
  <c r="Q160" i="1"/>
  <c r="P160" i="1"/>
  <c r="O160" i="1"/>
  <c r="N160" i="1"/>
  <c r="M160" i="1" s="1"/>
  <c r="U159" i="1"/>
  <c r="T159" i="1"/>
  <c r="Q159" i="1"/>
  <c r="P159" i="1"/>
  <c r="O159" i="1"/>
  <c r="N159" i="1"/>
  <c r="M159" i="1"/>
  <c r="U158" i="1"/>
  <c r="T158" i="1"/>
  <c r="Q158" i="1"/>
  <c r="P158" i="1"/>
  <c r="O158" i="1"/>
  <c r="N158" i="1"/>
  <c r="M158" i="1"/>
  <c r="U157" i="1"/>
  <c r="T157" i="1"/>
  <c r="Q157" i="1"/>
  <c r="P157" i="1"/>
  <c r="O157" i="1"/>
  <c r="N157" i="1"/>
  <c r="M157" i="1" s="1"/>
  <c r="U156" i="1"/>
  <c r="T156" i="1"/>
  <c r="Q156" i="1"/>
  <c r="P156" i="1"/>
  <c r="O156" i="1"/>
  <c r="N156" i="1"/>
  <c r="M156" i="1"/>
  <c r="U155" i="1"/>
  <c r="T155" i="1"/>
  <c r="Q155" i="1"/>
  <c r="P155" i="1"/>
  <c r="O155" i="1"/>
  <c r="N155" i="1"/>
  <c r="M155" i="1"/>
  <c r="U154" i="1"/>
  <c r="T154" i="1"/>
  <c r="P154" i="1"/>
  <c r="O154" i="1"/>
  <c r="N154" i="1"/>
  <c r="M154" i="1"/>
  <c r="U153" i="1"/>
  <c r="T153" i="1"/>
  <c r="P153" i="1"/>
  <c r="O153" i="1"/>
  <c r="N153" i="1"/>
  <c r="M153" i="1"/>
  <c r="U152" i="1"/>
  <c r="T152" i="1"/>
  <c r="Q152" i="1"/>
  <c r="P152" i="1"/>
  <c r="O152" i="1"/>
  <c r="N152" i="1"/>
  <c r="L152" i="1"/>
  <c r="K152" i="1"/>
  <c r="M152" i="1" s="1"/>
  <c r="J152" i="1"/>
  <c r="V151" i="1"/>
  <c r="U151" i="1"/>
  <c r="T151" i="1"/>
  <c r="R151" i="1"/>
  <c r="Q151" i="1"/>
  <c r="P151" i="1"/>
  <c r="O151" i="1"/>
  <c r="N151" i="1"/>
  <c r="L151" i="1"/>
  <c r="K151" i="1"/>
  <c r="M151" i="1" s="1"/>
  <c r="J151" i="1"/>
  <c r="I151" i="1"/>
  <c r="H151" i="1"/>
  <c r="G151" i="1"/>
  <c r="B151" i="1"/>
  <c r="A151" i="1"/>
  <c r="V150" i="1"/>
  <c r="U150" i="1"/>
  <c r="T150" i="1"/>
  <c r="R150" i="1"/>
  <c r="Q150" i="1"/>
  <c r="P150" i="1"/>
  <c r="O150" i="1"/>
  <c r="N150" i="1"/>
  <c r="L150" i="1"/>
  <c r="K150" i="1"/>
  <c r="J150" i="1"/>
  <c r="M150" i="1" s="1"/>
  <c r="I150" i="1"/>
  <c r="H150" i="1"/>
  <c r="G150" i="1"/>
  <c r="B150" i="1"/>
  <c r="A150" i="1"/>
  <c r="U149" i="1"/>
  <c r="T149" i="1"/>
  <c r="Q149" i="1"/>
  <c r="P149" i="1"/>
  <c r="O149" i="1"/>
  <c r="N149" i="1"/>
  <c r="L149" i="1"/>
  <c r="K149" i="1"/>
  <c r="J149" i="1"/>
  <c r="M149" i="1" s="1"/>
  <c r="I149" i="1"/>
  <c r="H149" i="1"/>
  <c r="G149" i="1"/>
  <c r="B149" i="1"/>
  <c r="A149" i="1"/>
  <c r="V148" i="1"/>
  <c r="U148" i="1"/>
  <c r="T148" i="1"/>
  <c r="R148" i="1"/>
  <c r="Q148" i="1"/>
  <c r="P148" i="1"/>
  <c r="O148" i="1"/>
  <c r="N148" i="1"/>
  <c r="M148" i="1"/>
  <c r="L148" i="1"/>
  <c r="K148" i="1"/>
  <c r="J148" i="1"/>
  <c r="I148" i="1"/>
  <c r="H148" i="1"/>
  <c r="G148" i="1"/>
  <c r="B148" i="1"/>
  <c r="A148" i="1"/>
  <c r="V147" i="1"/>
  <c r="U147" i="1"/>
  <c r="T147" i="1"/>
  <c r="R147" i="1"/>
  <c r="Q147" i="1"/>
  <c r="P147" i="1"/>
  <c r="O147" i="1"/>
  <c r="N147" i="1"/>
  <c r="L147" i="1"/>
  <c r="K147" i="1"/>
  <c r="J147" i="1"/>
  <c r="M147" i="1" s="1"/>
  <c r="I147" i="1"/>
  <c r="H147" i="1"/>
  <c r="G147" i="1"/>
  <c r="B147" i="1"/>
  <c r="A147" i="1"/>
  <c r="V146" i="1"/>
  <c r="U146" i="1"/>
  <c r="T146" i="1"/>
  <c r="R146" i="1"/>
  <c r="Q146" i="1"/>
  <c r="P146" i="1"/>
  <c r="O146" i="1"/>
  <c r="N146" i="1"/>
  <c r="L146" i="1"/>
  <c r="K146" i="1"/>
  <c r="J146" i="1"/>
  <c r="M146" i="1" s="1"/>
  <c r="I146" i="1"/>
  <c r="H146" i="1"/>
  <c r="G146" i="1"/>
  <c r="B146" i="1"/>
  <c r="A146" i="1"/>
  <c r="V145" i="1"/>
  <c r="U145" i="1"/>
  <c r="T145" i="1"/>
  <c r="R145" i="1"/>
  <c r="Q145" i="1"/>
  <c r="P145" i="1"/>
  <c r="O145" i="1"/>
  <c r="N145" i="1"/>
  <c r="M145" i="1"/>
  <c r="L145" i="1"/>
  <c r="K145" i="1"/>
  <c r="J145" i="1"/>
  <c r="I145" i="1"/>
  <c r="H145" i="1"/>
  <c r="G145" i="1"/>
  <c r="B145" i="1"/>
  <c r="A145" i="1"/>
  <c r="U144" i="1"/>
  <c r="T144" i="1"/>
  <c r="R144" i="1"/>
  <c r="Q144" i="1"/>
  <c r="P144" i="1"/>
  <c r="O144" i="1"/>
  <c r="N144" i="1"/>
  <c r="L144" i="1"/>
  <c r="K144" i="1"/>
  <c r="J144" i="1"/>
  <c r="M144" i="1" s="1"/>
  <c r="I144" i="1"/>
  <c r="H144" i="1"/>
  <c r="G144" i="1"/>
  <c r="B144" i="1"/>
  <c r="A144" i="1"/>
  <c r="V143" i="1"/>
  <c r="U143" i="1"/>
  <c r="T143" i="1"/>
  <c r="R143" i="1"/>
  <c r="Q143" i="1"/>
  <c r="P143" i="1"/>
  <c r="O143" i="1"/>
  <c r="N143" i="1"/>
  <c r="M143" i="1"/>
  <c r="L143" i="1"/>
  <c r="K143" i="1"/>
  <c r="J143" i="1"/>
  <c r="I143" i="1"/>
  <c r="H143" i="1"/>
  <c r="G143" i="1"/>
  <c r="B143" i="1"/>
  <c r="A143" i="1"/>
  <c r="V142" i="1"/>
  <c r="U142" i="1"/>
  <c r="T142" i="1"/>
  <c r="R142" i="1"/>
  <c r="Q142" i="1"/>
  <c r="P142" i="1"/>
  <c r="O142" i="1"/>
  <c r="N142" i="1"/>
  <c r="L142" i="1"/>
  <c r="K142" i="1"/>
  <c r="J142" i="1"/>
  <c r="M142" i="1" s="1"/>
  <c r="I142" i="1"/>
  <c r="H142" i="1"/>
  <c r="G142" i="1"/>
  <c r="B142" i="1"/>
  <c r="A142" i="1"/>
  <c r="V141" i="1"/>
  <c r="U141" i="1"/>
  <c r="T141" i="1"/>
  <c r="R141" i="1"/>
  <c r="Q141" i="1"/>
  <c r="P141" i="1"/>
  <c r="O141" i="1"/>
  <c r="N141" i="1"/>
  <c r="L141" i="1"/>
  <c r="K141" i="1"/>
  <c r="J141" i="1"/>
  <c r="M141" i="1" s="1"/>
  <c r="I141" i="1"/>
  <c r="H141" i="1"/>
  <c r="G141" i="1"/>
  <c r="B141" i="1"/>
  <c r="A141" i="1"/>
  <c r="V140" i="1"/>
  <c r="U140" i="1"/>
  <c r="T140" i="1"/>
  <c r="R140" i="1"/>
  <c r="Q140" i="1"/>
  <c r="P140" i="1"/>
  <c r="O140" i="1"/>
  <c r="N140" i="1"/>
  <c r="M140" i="1"/>
  <c r="L140" i="1"/>
  <c r="K140" i="1"/>
  <c r="J140" i="1"/>
  <c r="I140" i="1"/>
  <c r="H140" i="1"/>
  <c r="G140" i="1"/>
  <c r="B140" i="1"/>
  <c r="A140" i="1"/>
  <c r="U139" i="1"/>
  <c r="T139" i="1"/>
  <c r="R139" i="1"/>
  <c r="Q139" i="1"/>
  <c r="P139" i="1"/>
  <c r="O139" i="1"/>
  <c r="N139" i="1"/>
  <c r="L139" i="1"/>
  <c r="K139" i="1"/>
  <c r="J139" i="1"/>
  <c r="M139" i="1" s="1"/>
  <c r="I139" i="1"/>
  <c r="H139" i="1"/>
  <c r="G139" i="1"/>
  <c r="B139" i="1"/>
  <c r="A139" i="1"/>
  <c r="V138" i="1"/>
  <c r="U138" i="1"/>
  <c r="T138" i="1"/>
  <c r="R138" i="1"/>
  <c r="Q138" i="1"/>
  <c r="P138" i="1"/>
  <c r="O138" i="1"/>
  <c r="N138" i="1"/>
  <c r="M138" i="1"/>
  <c r="L138" i="1"/>
  <c r="K138" i="1"/>
  <c r="J138" i="1"/>
  <c r="I138" i="1"/>
  <c r="H138" i="1"/>
  <c r="G138" i="1"/>
  <c r="B138" i="1"/>
  <c r="A138" i="1"/>
  <c r="V137" i="1"/>
  <c r="U137" i="1"/>
  <c r="T137" i="1"/>
  <c r="R137" i="1"/>
  <c r="Q137" i="1"/>
  <c r="P137" i="1"/>
  <c r="O137" i="1"/>
  <c r="N137" i="1"/>
  <c r="L137" i="1"/>
  <c r="K137" i="1"/>
  <c r="J137" i="1"/>
  <c r="M137" i="1" s="1"/>
  <c r="I137" i="1"/>
  <c r="H137" i="1"/>
  <c r="G137" i="1"/>
  <c r="B137" i="1"/>
  <c r="A137" i="1"/>
  <c r="V136" i="1"/>
  <c r="U136" i="1"/>
  <c r="T136" i="1"/>
  <c r="R136" i="1"/>
  <c r="Q136" i="1"/>
  <c r="P136" i="1"/>
  <c r="O136" i="1"/>
  <c r="N136" i="1"/>
  <c r="L136" i="1"/>
  <c r="K136" i="1"/>
  <c r="J136" i="1"/>
  <c r="M136" i="1" s="1"/>
  <c r="I136" i="1"/>
  <c r="H136" i="1"/>
  <c r="G136" i="1"/>
  <c r="B136" i="1"/>
  <c r="A136" i="1"/>
  <c r="V135" i="1"/>
  <c r="U135" i="1"/>
  <c r="T135" i="1"/>
  <c r="R135" i="1"/>
  <c r="Q135" i="1"/>
  <c r="P135" i="1"/>
  <c r="O135" i="1"/>
  <c r="N135" i="1"/>
  <c r="M135" i="1"/>
  <c r="L135" i="1"/>
  <c r="K135" i="1"/>
  <c r="J135" i="1"/>
  <c r="I135" i="1"/>
  <c r="H135" i="1"/>
  <c r="G135" i="1"/>
  <c r="B135" i="1"/>
  <c r="A135" i="1"/>
  <c r="V134" i="1"/>
  <c r="U134" i="1"/>
  <c r="T134" i="1"/>
  <c r="R134" i="1"/>
  <c r="Q134" i="1"/>
  <c r="P134" i="1"/>
  <c r="O134" i="1"/>
  <c r="N134" i="1"/>
  <c r="L134" i="1"/>
  <c r="K134" i="1"/>
  <c r="J134" i="1"/>
  <c r="M134" i="1" s="1"/>
  <c r="I134" i="1"/>
  <c r="H134" i="1"/>
  <c r="G134" i="1"/>
  <c r="B134" i="1"/>
  <c r="A134" i="1"/>
  <c r="V133" i="1"/>
  <c r="U133" i="1"/>
  <c r="T133" i="1"/>
  <c r="R133" i="1"/>
  <c r="Q133" i="1"/>
  <c r="P133" i="1"/>
  <c r="O133" i="1"/>
  <c r="N133" i="1"/>
  <c r="M133" i="1"/>
  <c r="L133" i="1"/>
  <c r="K133" i="1"/>
  <c r="J133" i="1"/>
  <c r="I133" i="1"/>
  <c r="H133" i="1"/>
  <c r="G133" i="1"/>
  <c r="B133" i="1"/>
  <c r="A133" i="1"/>
  <c r="V132" i="1"/>
  <c r="U132" i="1"/>
  <c r="T132" i="1"/>
  <c r="R132" i="1"/>
  <c r="Q132" i="1"/>
  <c r="P132" i="1"/>
  <c r="O132" i="1"/>
  <c r="N132" i="1"/>
  <c r="L132" i="1"/>
  <c r="K132" i="1"/>
  <c r="J132" i="1"/>
  <c r="M132" i="1" s="1"/>
  <c r="I132" i="1"/>
  <c r="H132" i="1"/>
  <c r="G132" i="1"/>
  <c r="B132" i="1"/>
  <c r="A132" i="1"/>
  <c r="V131" i="1"/>
  <c r="U131" i="1"/>
  <c r="T131" i="1"/>
  <c r="R131" i="1"/>
  <c r="Q131" i="1"/>
  <c r="P131" i="1"/>
  <c r="O131" i="1"/>
  <c r="N131" i="1"/>
  <c r="L131" i="1"/>
  <c r="K131" i="1"/>
  <c r="M131" i="1" s="1"/>
  <c r="J131" i="1"/>
  <c r="I131" i="1"/>
  <c r="H131" i="1"/>
  <c r="G131" i="1"/>
  <c r="B131" i="1"/>
  <c r="A131" i="1"/>
  <c r="V130" i="1"/>
  <c r="U130" i="1"/>
  <c r="T130" i="1"/>
  <c r="R130" i="1"/>
  <c r="Q130" i="1"/>
  <c r="P130" i="1"/>
  <c r="O130" i="1"/>
  <c r="N130" i="1"/>
  <c r="L130" i="1"/>
  <c r="K130" i="1"/>
  <c r="J130" i="1"/>
  <c r="M130" i="1" s="1"/>
  <c r="I130" i="1"/>
  <c r="H130" i="1"/>
  <c r="G130" i="1"/>
  <c r="B130" i="1"/>
  <c r="A130" i="1"/>
  <c r="V129" i="1"/>
  <c r="U129" i="1"/>
  <c r="T129" i="1"/>
  <c r="R129" i="1"/>
  <c r="Q129" i="1"/>
  <c r="P129" i="1"/>
  <c r="O129" i="1"/>
  <c r="N129" i="1"/>
  <c r="L129" i="1"/>
  <c r="K129" i="1"/>
  <c r="J129" i="1"/>
  <c r="M129" i="1" s="1"/>
  <c r="I129" i="1"/>
  <c r="H129" i="1"/>
  <c r="G129" i="1"/>
  <c r="B129" i="1"/>
  <c r="A129" i="1"/>
  <c r="V128" i="1"/>
  <c r="U128" i="1"/>
  <c r="T128" i="1"/>
  <c r="R128" i="1"/>
  <c r="Q128" i="1"/>
  <c r="P128" i="1"/>
  <c r="O128" i="1"/>
  <c r="N128" i="1"/>
  <c r="L128" i="1"/>
  <c r="K128" i="1"/>
  <c r="J128" i="1"/>
  <c r="M128" i="1" s="1"/>
  <c r="I128" i="1"/>
  <c r="H128" i="1"/>
  <c r="G128" i="1"/>
  <c r="B128" i="1"/>
  <c r="A128" i="1"/>
  <c r="V127" i="1"/>
  <c r="U127" i="1"/>
  <c r="T127" i="1"/>
  <c r="R127" i="1"/>
  <c r="Q127" i="1"/>
  <c r="P127" i="1"/>
  <c r="O127" i="1"/>
  <c r="N127" i="1"/>
  <c r="L127" i="1"/>
  <c r="K127" i="1"/>
  <c r="J127" i="1"/>
  <c r="M127" i="1" s="1"/>
  <c r="I127" i="1"/>
  <c r="H127" i="1"/>
  <c r="G127" i="1"/>
  <c r="B127" i="1"/>
  <c r="A127" i="1"/>
  <c r="V126" i="1"/>
  <c r="U126" i="1"/>
  <c r="T126" i="1"/>
  <c r="R126" i="1"/>
  <c r="Q126" i="1"/>
  <c r="P126" i="1"/>
  <c r="O126" i="1"/>
  <c r="N126" i="1"/>
  <c r="M126" i="1"/>
  <c r="L126" i="1"/>
  <c r="K126" i="1"/>
  <c r="J126" i="1"/>
  <c r="I126" i="1"/>
  <c r="H126" i="1"/>
  <c r="G126" i="1"/>
  <c r="B126" i="1"/>
  <c r="A126" i="1"/>
  <c r="V125" i="1"/>
  <c r="U125" i="1"/>
  <c r="T125" i="1"/>
  <c r="R125" i="1"/>
  <c r="Q125" i="1"/>
  <c r="P125" i="1"/>
  <c r="O125" i="1"/>
  <c r="N125" i="1"/>
  <c r="L125" i="1"/>
  <c r="K125" i="1"/>
  <c r="J125" i="1"/>
  <c r="M125" i="1" s="1"/>
  <c r="I125" i="1"/>
  <c r="H125" i="1"/>
  <c r="G125" i="1"/>
  <c r="B125" i="1"/>
  <c r="A125" i="1"/>
  <c r="V124" i="1"/>
  <c r="U124" i="1"/>
  <c r="T124" i="1"/>
  <c r="R124" i="1"/>
  <c r="Q124" i="1"/>
  <c r="P124" i="1"/>
  <c r="O124" i="1"/>
  <c r="N124" i="1"/>
  <c r="L124" i="1"/>
  <c r="K124" i="1"/>
  <c r="J124" i="1"/>
  <c r="M124" i="1" s="1"/>
  <c r="I124" i="1"/>
  <c r="H124" i="1"/>
  <c r="G124" i="1"/>
  <c r="B124" i="1"/>
  <c r="A124" i="1"/>
  <c r="V123" i="1"/>
  <c r="U123" i="1"/>
  <c r="T123" i="1"/>
  <c r="R123" i="1"/>
  <c r="Q123" i="1"/>
  <c r="P123" i="1"/>
  <c r="O123" i="1"/>
  <c r="N123" i="1"/>
  <c r="L123" i="1"/>
  <c r="K123" i="1"/>
  <c r="J123" i="1"/>
  <c r="M123" i="1" s="1"/>
  <c r="I123" i="1"/>
  <c r="H123" i="1"/>
  <c r="G123" i="1"/>
  <c r="B123" i="1"/>
  <c r="A123" i="1"/>
  <c r="V122" i="1"/>
  <c r="U122" i="1"/>
  <c r="T122" i="1"/>
  <c r="R122" i="1"/>
  <c r="Q122" i="1"/>
  <c r="P122" i="1"/>
  <c r="O122" i="1"/>
  <c r="N122" i="1"/>
  <c r="L122" i="1"/>
  <c r="K122" i="1"/>
  <c r="J122" i="1"/>
  <c r="M122" i="1" s="1"/>
  <c r="I122" i="1"/>
  <c r="H122" i="1"/>
  <c r="G122" i="1"/>
  <c r="B122" i="1"/>
  <c r="A122" i="1"/>
  <c r="V121" i="1"/>
  <c r="U121" i="1"/>
  <c r="T121" i="1"/>
  <c r="R121" i="1"/>
  <c r="Q121" i="1"/>
  <c r="P121" i="1"/>
  <c r="O121" i="1"/>
  <c r="N121" i="1"/>
  <c r="M121" i="1"/>
  <c r="L121" i="1"/>
  <c r="K121" i="1"/>
  <c r="J121" i="1"/>
  <c r="I121" i="1"/>
  <c r="H121" i="1"/>
  <c r="G121" i="1"/>
  <c r="B121" i="1"/>
  <c r="A121" i="1"/>
  <c r="V120" i="1"/>
  <c r="U120" i="1"/>
  <c r="T120" i="1"/>
  <c r="R120" i="1"/>
  <c r="Q120" i="1"/>
  <c r="P120" i="1"/>
  <c r="O120" i="1"/>
  <c r="N120" i="1"/>
  <c r="L120" i="1"/>
  <c r="K120" i="1"/>
  <c r="J120" i="1"/>
  <c r="M120" i="1" s="1"/>
  <c r="I120" i="1"/>
  <c r="H120" i="1"/>
  <c r="G120" i="1"/>
  <c r="B120" i="1"/>
  <c r="A120" i="1"/>
  <c r="V119" i="1"/>
  <c r="U119" i="1"/>
  <c r="T119" i="1"/>
  <c r="R119" i="1"/>
  <c r="Q119" i="1"/>
  <c r="P119" i="1"/>
  <c r="O119" i="1"/>
  <c r="N119" i="1"/>
  <c r="L119" i="1"/>
  <c r="K119" i="1"/>
  <c r="M119" i="1" s="1"/>
  <c r="J119" i="1"/>
  <c r="I119" i="1"/>
  <c r="H119" i="1"/>
  <c r="G119" i="1"/>
  <c r="B119" i="1"/>
  <c r="A119" i="1"/>
  <c r="V118" i="1"/>
  <c r="U118" i="1"/>
  <c r="T118" i="1"/>
  <c r="R118" i="1"/>
  <c r="Q118" i="1"/>
  <c r="P118" i="1"/>
  <c r="O118" i="1"/>
  <c r="N118" i="1"/>
  <c r="L118" i="1"/>
  <c r="K118" i="1"/>
  <c r="J118" i="1"/>
  <c r="M118" i="1" s="1"/>
  <c r="I118" i="1"/>
  <c r="H118" i="1"/>
  <c r="G118" i="1"/>
  <c r="B118" i="1"/>
  <c r="A118" i="1"/>
  <c r="V117" i="1"/>
  <c r="U117" i="1"/>
  <c r="T117" i="1"/>
  <c r="R117" i="1"/>
  <c r="Q117" i="1"/>
  <c r="P117" i="1"/>
  <c r="O117" i="1"/>
  <c r="N117" i="1"/>
  <c r="L117" i="1"/>
  <c r="K117" i="1"/>
  <c r="J117" i="1"/>
  <c r="M117" i="1" s="1"/>
  <c r="I117" i="1"/>
  <c r="H117" i="1"/>
  <c r="G117" i="1"/>
  <c r="B117" i="1"/>
  <c r="A117" i="1"/>
  <c r="V116" i="1"/>
  <c r="U116" i="1"/>
  <c r="T116" i="1"/>
  <c r="R116" i="1"/>
  <c r="Q116" i="1"/>
  <c r="P116" i="1"/>
  <c r="O116" i="1"/>
  <c r="N116" i="1"/>
  <c r="L116" i="1"/>
  <c r="K116" i="1"/>
  <c r="M116" i="1" s="1"/>
  <c r="J116" i="1"/>
  <c r="I116" i="1"/>
  <c r="H116" i="1"/>
  <c r="G116" i="1"/>
  <c r="B116" i="1"/>
  <c r="A116" i="1"/>
  <c r="V115" i="1"/>
  <c r="U115" i="1"/>
  <c r="T115" i="1"/>
  <c r="R115" i="1"/>
  <c r="Q115" i="1"/>
  <c r="P115" i="1"/>
  <c r="O115" i="1"/>
  <c r="N115" i="1"/>
  <c r="L115" i="1"/>
  <c r="K115" i="1"/>
  <c r="J115" i="1"/>
  <c r="M115" i="1" s="1"/>
  <c r="I115" i="1"/>
  <c r="H115" i="1"/>
  <c r="G115" i="1"/>
  <c r="B115" i="1"/>
  <c r="A115" i="1"/>
  <c r="V114" i="1"/>
  <c r="U114" i="1"/>
  <c r="T114" i="1"/>
  <c r="R114" i="1"/>
  <c r="Q114" i="1"/>
  <c r="P114" i="1"/>
  <c r="O114" i="1"/>
  <c r="N114" i="1"/>
  <c r="M114" i="1"/>
  <c r="L114" i="1"/>
  <c r="K114" i="1"/>
  <c r="J114" i="1"/>
  <c r="I114" i="1"/>
  <c r="H114" i="1"/>
  <c r="G114" i="1"/>
  <c r="B114" i="1"/>
  <c r="A114" i="1"/>
  <c r="V113" i="1"/>
  <c r="U113" i="1"/>
  <c r="T113" i="1"/>
  <c r="R113" i="1"/>
  <c r="Q113" i="1"/>
  <c r="P113" i="1"/>
  <c r="O113" i="1"/>
  <c r="N113" i="1"/>
  <c r="L113" i="1"/>
  <c r="K113" i="1"/>
  <c r="J113" i="1"/>
  <c r="M113" i="1" s="1"/>
  <c r="I113" i="1"/>
  <c r="H113" i="1"/>
  <c r="G113" i="1"/>
  <c r="B113" i="1"/>
  <c r="A113" i="1"/>
  <c r="V112" i="1"/>
  <c r="U112" i="1"/>
  <c r="T112" i="1"/>
  <c r="R112" i="1"/>
  <c r="Q112" i="1"/>
  <c r="P112" i="1"/>
  <c r="O112" i="1"/>
  <c r="N112" i="1"/>
  <c r="L112" i="1"/>
  <c r="K112" i="1"/>
  <c r="J112" i="1"/>
  <c r="M112" i="1" s="1"/>
  <c r="I112" i="1"/>
  <c r="H112" i="1"/>
  <c r="G112" i="1"/>
  <c r="B112" i="1"/>
  <c r="A112" i="1"/>
  <c r="V111" i="1"/>
  <c r="U111" i="1"/>
  <c r="T111" i="1"/>
  <c r="R111" i="1"/>
  <c r="Q111" i="1"/>
  <c r="P111" i="1"/>
  <c r="O111" i="1"/>
  <c r="N111" i="1"/>
  <c r="L111" i="1"/>
  <c r="K111" i="1"/>
  <c r="J111" i="1"/>
  <c r="M111" i="1" s="1"/>
  <c r="I111" i="1"/>
  <c r="H111" i="1"/>
  <c r="G111" i="1"/>
  <c r="B111" i="1"/>
  <c r="A111" i="1"/>
  <c r="V110" i="1"/>
  <c r="U110" i="1"/>
  <c r="T110" i="1"/>
  <c r="R110" i="1"/>
  <c r="Q110" i="1"/>
  <c r="P110" i="1"/>
  <c r="O110" i="1"/>
  <c r="N110" i="1"/>
  <c r="L110" i="1"/>
  <c r="K110" i="1"/>
  <c r="J110" i="1"/>
  <c r="M110" i="1" s="1"/>
  <c r="I110" i="1"/>
  <c r="H110" i="1"/>
  <c r="G110" i="1"/>
  <c r="B110" i="1"/>
  <c r="A110" i="1"/>
  <c r="V109" i="1"/>
  <c r="U109" i="1"/>
  <c r="T109" i="1"/>
  <c r="R109" i="1"/>
  <c r="Q109" i="1"/>
  <c r="P109" i="1"/>
  <c r="O109" i="1"/>
  <c r="N109" i="1"/>
  <c r="M109" i="1"/>
  <c r="L109" i="1"/>
  <c r="K109" i="1"/>
  <c r="J109" i="1"/>
  <c r="I109" i="1"/>
  <c r="H109" i="1"/>
  <c r="G109" i="1"/>
  <c r="B109" i="1"/>
  <c r="A109" i="1"/>
  <c r="V108" i="1"/>
  <c r="U108" i="1"/>
  <c r="T108" i="1"/>
  <c r="R108" i="1"/>
  <c r="Q108" i="1"/>
  <c r="P108" i="1"/>
  <c r="O108" i="1"/>
  <c r="N108" i="1"/>
  <c r="L108" i="1"/>
  <c r="K108" i="1"/>
  <c r="J108" i="1"/>
  <c r="M108" i="1" s="1"/>
  <c r="I108" i="1"/>
  <c r="H108" i="1"/>
  <c r="G108" i="1"/>
  <c r="B108" i="1"/>
  <c r="A108" i="1"/>
  <c r="V107" i="1"/>
  <c r="U107" i="1"/>
  <c r="T107" i="1"/>
  <c r="R107" i="1"/>
  <c r="Q107" i="1"/>
  <c r="P107" i="1"/>
  <c r="O107" i="1"/>
  <c r="N107" i="1"/>
  <c r="L107" i="1"/>
  <c r="K107" i="1"/>
  <c r="M107" i="1" s="1"/>
  <c r="J107" i="1"/>
  <c r="I107" i="1"/>
  <c r="H107" i="1"/>
  <c r="G107" i="1"/>
  <c r="B107" i="1"/>
  <c r="A107" i="1"/>
  <c r="V106" i="1"/>
  <c r="U106" i="1"/>
  <c r="T106" i="1"/>
  <c r="R106" i="1"/>
  <c r="Q106" i="1"/>
  <c r="P106" i="1"/>
  <c r="O106" i="1"/>
  <c r="N106" i="1"/>
  <c r="L106" i="1"/>
  <c r="K106" i="1"/>
  <c r="J106" i="1"/>
  <c r="M106" i="1" s="1"/>
  <c r="I106" i="1"/>
  <c r="H106" i="1"/>
  <c r="G106" i="1"/>
  <c r="B106" i="1"/>
  <c r="A106" i="1"/>
  <c r="V105" i="1"/>
  <c r="U105" i="1"/>
  <c r="T105" i="1"/>
  <c r="R105" i="1"/>
  <c r="Q105" i="1"/>
  <c r="P105" i="1"/>
  <c r="O105" i="1"/>
  <c r="N105" i="1"/>
  <c r="L105" i="1"/>
  <c r="K105" i="1"/>
  <c r="J105" i="1"/>
  <c r="M105" i="1" s="1"/>
  <c r="I105" i="1"/>
  <c r="H105" i="1"/>
  <c r="G105" i="1"/>
  <c r="B105" i="1"/>
  <c r="A105" i="1"/>
  <c r="V104" i="1"/>
  <c r="U104" i="1"/>
  <c r="T104" i="1"/>
  <c r="R104" i="1"/>
  <c r="Q104" i="1"/>
  <c r="P104" i="1"/>
  <c r="O104" i="1"/>
  <c r="N104" i="1"/>
  <c r="L104" i="1"/>
  <c r="K104" i="1"/>
  <c r="M104" i="1" s="1"/>
  <c r="J104" i="1"/>
  <c r="I104" i="1"/>
  <c r="H104" i="1"/>
  <c r="G104" i="1"/>
  <c r="B104" i="1"/>
  <c r="A104" i="1"/>
  <c r="V103" i="1"/>
  <c r="U103" i="1"/>
  <c r="T103" i="1"/>
  <c r="R103" i="1"/>
  <c r="Q103" i="1"/>
  <c r="P103" i="1"/>
  <c r="O103" i="1"/>
  <c r="N103" i="1"/>
  <c r="L103" i="1"/>
  <c r="K103" i="1"/>
  <c r="J103" i="1"/>
  <c r="M103" i="1" s="1"/>
  <c r="I103" i="1"/>
  <c r="H103" i="1"/>
  <c r="G103" i="1"/>
  <c r="B103" i="1"/>
  <c r="A103" i="1"/>
  <c r="V102" i="1"/>
  <c r="U102" i="1"/>
  <c r="T102" i="1"/>
  <c r="R102" i="1"/>
  <c r="Q102" i="1"/>
  <c r="P102" i="1"/>
  <c r="O102" i="1"/>
  <c r="N102" i="1"/>
  <c r="M102" i="1"/>
  <c r="L102" i="1"/>
  <c r="K102" i="1"/>
  <c r="J102" i="1"/>
  <c r="I102" i="1"/>
  <c r="H102" i="1"/>
  <c r="G102" i="1"/>
  <c r="B102" i="1"/>
  <c r="A102" i="1"/>
  <c r="V101" i="1"/>
  <c r="U101" i="1"/>
  <c r="T101" i="1"/>
  <c r="R101" i="1"/>
  <c r="Q101" i="1"/>
  <c r="P101" i="1"/>
  <c r="O101" i="1"/>
  <c r="N101" i="1"/>
  <c r="L101" i="1"/>
  <c r="K101" i="1"/>
  <c r="J101" i="1"/>
  <c r="M101" i="1" s="1"/>
  <c r="I101" i="1"/>
  <c r="H101" i="1"/>
  <c r="G101" i="1"/>
  <c r="B101" i="1"/>
  <c r="A101" i="1"/>
  <c r="V100" i="1"/>
  <c r="U100" i="1"/>
  <c r="T100" i="1"/>
  <c r="R100" i="1"/>
  <c r="Q100" i="1"/>
  <c r="P100" i="1"/>
  <c r="O100" i="1"/>
  <c r="N100" i="1"/>
  <c r="L100" i="1"/>
  <c r="K100" i="1"/>
  <c r="J100" i="1"/>
  <c r="M100" i="1" s="1"/>
  <c r="I100" i="1"/>
  <c r="H100" i="1"/>
  <c r="G100" i="1"/>
  <c r="B100" i="1"/>
  <c r="A100" i="1"/>
  <c r="V99" i="1"/>
  <c r="U99" i="1"/>
  <c r="T99" i="1"/>
  <c r="R99" i="1"/>
  <c r="Q99" i="1"/>
  <c r="P99" i="1"/>
  <c r="O99" i="1"/>
  <c r="N99" i="1"/>
  <c r="L99" i="1"/>
  <c r="K99" i="1"/>
  <c r="J99" i="1"/>
  <c r="M99" i="1" s="1"/>
  <c r="I99" i="1"/>
  <c r="H99" i="1"/>
  <c r="G99" i="1"/>
  <c r="B99" i="1"/>
  <c r="A99" i="1"/>
  <c r="V98" i="1"/>
  <c r="U98" i="1"/>
  <c r="T98" i="1"/>
  <c r="R98" i="1"/>
  <c r="Q98" i="1"/>
  <c r="P98" i="1"/>
  <c r="O98" i="1"/>
  <c r="N98" i="1"/>
  <c r="L98" i="1"/>
  <c r="K98" i="1"/>
  <c r="J98" i="1"/>
  <c r="M98" i="1" s="1"/>
  <c r="I98" i="1"/>
  <c r="H98" i="1"/>
  <c r="G98" i="1"/>
  <c r="B98" i="1"/>
  <c r="A98" i="1"/>
  <c r="V97" i="1"/>
  <c r="U97" i="1"/>
  <c r="T97" i="1"/>
  <c r="R97" i="1"/>
  <c r="Q97" i="1"/>
  <c r="P97" i="1"/>
  <c r="O97" i="1"/>
  <c r="N97" i="1"/>
  <c r="M97" i="1"/>
  <c r="L97" i="1"/>
  <c r="K97" i="1"/>
  <c r="J97" i="1"/>
  <c r="I97" i="1"/>
  <c r="H97" i="1"/>
  <c r="G97" i="1"/>
  <c r="B97" i="1"/>
  <c r="A97" i="1"/>
  <c r="V96" i="1"/>
  <c r="U96" i="1"/>
  <c r="T96" i="1"/>
  <c r="R96" i="1"/>
  <c r="Q96" i="1"/>
  <c r="P96" i="1"/>
  <c r="O96" i="1"/>
  <c r="N96" i="1"/>
  <c r="L96" i="1"/>
  <c r="K96" i="1"/>
  <c r="J96" i="1"/>
  <c r="M96" i="1" s="1"/>
  <c r="I96" i="1"/>
  <c r="H96" i="1"/>
  <c r="G96" i="1"/>
  <c r="B96" i="1"/>
  <c r="A96" i="1"/>
  <c r="V95" i="1"/>
  <c r="U95" i="1"/>
  <c r="T95" i="1"/>
  <c r="R95" i="1"/>
  <c r="Q95" i="1"/>
  <c r="P95" i="1"/>
  <c r="O95" i="1"/>
  <c r="N95" i="1"/>
  <c r="L95" i="1"/>
  <c r="K95" i="1"/>
  <c r="M95" i="1" s="1"/>
  <c r="J95" i="1"/>
  <c r="I95" i="1"/>
  <c r="H95" i="1"/>
  <c r="G95" i="1"/>
  <c r="B95" i="1"/>
  <c r="A95" i="1"/>
  <c r="V94" i="1"/>
  <c r="U94" i="1"/>
  <c r="T94" i="1"/>
  <c r="R94" i="1"/>
  <c r="Q94" i="1"/>
  <c r="P94" i="1"/>
  <c r="O94" i="1"/>
  <c r="N94" i="1"/>
  <c r="L94" i="1"/>
  <c r="K94" i="1"/>
  <c r="J94" i="1"/>
  <c r="M94" i="1" s="1"/>
  <c r="I94" i="1"/>
  <c r="H94" i="1"/>
  <c r="G94" i="1"/>
  <c r="B94" i="1"/>
  <c r="A94" i="1"/>
  <c r="V93" i="1"/>
  <c r="U93" i="1"/>
  <c r="T93" i="1"/>
  <c r="R93" i="1"/>
  <c r="Q93" i="1"/>
  <c r="P93" i="1"/>
  <c r="O93" i="1"/>
  <c r="N93" i="1"/>
  <c r="L93" i="1"/>
  <c r="K93" i="1"/>
  <c r="J93" i="1"/>
  <c r="M93" i="1" s="1"/>
  <c r="I93" i="1"/>
  <c r="H93" i="1"/>
  <c r="G93" i="1"/>
  <c r="B93" i="1"/>
  <c r="A93" i="1"/>
  <c r="V92" i="1"/>
  <c r="U92" i="1"/>
  <c r="T92" i="1"/>
  <c r="R92" i="1"/>
  <c r="Q92" i="1"/>
  <c r="P92" i="1"/>
  <c r="O92" i="1"/>
  <c r="N92" i="1"/>
  <c r="L92" i="1"/>
  <c r="K92" i="1"/>
  <c r="J92" i="1"/>
  <c r="M92" i="1" s="1"/>
  <c r="I92" i="1"/>
  <c r="H92" i="1"/>
  <c r="G92" i="1"/>
  <c r="B92" i="1"/>
  <c r="A92" i="1"/>
  <c r="V91" i="1"/>
  <c r="U91" i="1"/>
  <c r="T91" i="1"/>
  <c r="R91" i="1"/>
  <c r="Q91" i="1"/>
  <c r="P91" i="1"/>
  <c r="O91" i="1"/>
  <c r="N91" i="1"/>
  <c r="L91" i="1"/>
  <c r="K91" i="1"/>
  <c r="J91" i="1"/>
  <c r="M91" i="1" s="1"/>
  <c r="I91" i="1"/>
  <c r="H91" i="1"/>
  <c r="G91" i="1"/>
  <c r="B91" i="1"/>
  <c r="A91" i="1"/>
  <c r="V90" i="1"/>
  <c r="U90" i="1"/>
  <c r="T90" i="1"/>
  <c r="R90" i="1"/>
  <c r="Q90" i="1"/>
  <c r="P90" i="1"/>
  <c r="O90" i="1"/>
  <c r="N90" i="1"/>
  <c r="M90" i="1"/>
  <c r="L90" i="1"/>
  <c r="K90" i="1"/>
  <c r="J90" i="1"/>
  <c r="I90" i="1"/>
  <c r="H90" i="1"/>
  <c r="G90" i="1"/>
  <c r="B90" i="1"/>
  <c r="A90" i="1"/>
  <c r="V89" i="1"/>
  <c r="U89" i="1"/>
  <c r="T89" i="1"/>
  <c r="R89" i="1"/>
  <c r="Q89" i="1"/>
  <c r="P89" i="1"/>
  <c r="O89" i="1"/>
  <c r="N89" i="1"/>
  <c r="L89" i="1"/>
  <c r="K89" i="1"/>
  <c r="J89" i="1"/>
  <c r="M89" i="1" s="1"/>
  <c r="I89" i="1"/>
  <c r="H89" i="1"/>
  <c r="G89" i="1"/>
  <c r="B89" i="1"/>
  <c r="A89" i="1"/>
  <c r="V88" i="1"/>
  <c r="U88" i="1"/>
  <c r="T88" i="1"/>
  <c r="R88" i="1"/>
  <c r="Q88" i="1"/>
  <c r="P88" i="1"/>
  <c r="O88" i="1"/>
  <c r="N88" i="1"/>
  <c r="L88" i="1"/>
  <c r="K88" i="1"/>
  <c r="J88" i="1"/>
  <c r="M88" i="1" s="1"/>
  <c r="I88" i="1"/>
  <c r="H88" i="1"/>
  <c r="G88" i="1"/>
  <c r="B88" i="1"/>
  <c r="A88" i="1"/>
  <c r="U87" i="1"/>
  <c r="T87" i="1"/>
  <c r="R87" i="1"/>
  <c r="Q87" i="1"/>
  <c r="P87" i="1"/>
  <c r="O87" i="1"/>
  <c r="N87" i="1"/>
  <c r="L87" i="1"/>
  <c r="K87" i="1"/>
  <c r="M87" i="1" s="1"/>
  <c r="J87" i="1"/>
  <c r="I87" i="1"/>
  <c r="H87" i="1"/>
  <c r="G87" i="1"/>
  <c r="B87" i="1"/>
  <c r="A87" i="1"/>
  <c r="V86" i="1"/>
  <c r="U86" i="1"/>
  <c r="T86" i="1"/>
  <c r="R86" i="1"/>
  <c r="Q86" i="1"/>
  <c r="P86" i="1"/>
  <c r="O86" i="1"/>
  <c r="N86" i="1"/>
  <c r="L86" i="1"/>
  <c r="K86" i="1"/>
  <c r="J86" i="1"/>
  <c r="M86" i="1" s="1"/>
  <c r="I86" i="1"/>
  <c r="H86" i="1"/>
  <c r="G86" i="1"/>
  <c r="B86" i="1"/>
  <c r="A86" i="1"/>
  <c r="V85" i="1"/>
  <c r="U85" i="1"/>
  <c r="T85" i="1"/>
  <c r="R85" i="1"/>
  <c r="Q85" i="1"/>
  <c r="P85" i="1"/>
  <c r="O85" i="1"/>
  <c r="N85" i="1"/>
  <c r="M85" i="1"/>
  <c r="L85" i="1"/>
  <c r="K85" i="1"/>
  <c r="J85" i="1"/>
  <c r="I85" i="1"/>
  <c r="H85" i="1"/>
  <c r="G85" i="1"/>
  <c r="B85" i="1"/>
  <c r="A85" i="1"/>
  <c r="V84" i="1"/>
  <c r="U84" i="1"/>
  <c r="T84" i="1"/>
  <c r="R84" i="1"/>
  <c r="Q84" i="1"/>
  <c r="P84" i="1"/>
  <c r="O84" i="1"/>
  <c r="N84" i="1"/>
  <c r="L84" i="1"/>
  <c r="K84" i="1"/>
  <c r="J84" i="1"/>
  <c r="M84" i="1" s="1"/>
  <c r="I84" i="1"/>
  <c r="H84" i="1"/>
  <c r="G84" i="1"/>
  <c r="B84" i="1"/>
  <c r="A84" i="1"/>
  <c r="V83" i="1"/>
  <c r="U83" i="1"/>
  <c r="T83" i="1"/>
  <c r="R83" i="1"/>
  <c r="Q83" i="1"/>
  <c r="P83" i="1"/>
  <c r="O83" i="1"/>
  <c r="N83" i="1"/>
  <c r="L83" i="1"/>
  <c r="K83" i="1"/>
  <c r="J83" i="1"/>
  <c r="M83" i="1" s="1"/>
  <c r="I83" i="1"/>
  <c r="H83" i="1"/>
  <c r="G83" i="1"/>
  <c r="B83" i="1"/>
  <c r="A83" i="1"/>
  <c r="V82" i="1"/>
  <c r="U82" i="1"/>
  <c r="T82" i="1"/>
  <c r="R82" i="1"/>
  <c r="Q82" i="1"/>
  <c r="P82" i="1"/>
  <c r="O82" i="1"/>
  <c r="N82" i="1"/>
  <c r="L82" i="1"/>
  <c r="K82" i="1"/>
  <c r="J82" i="1"/>
  <c r="M82" i="1" s="1"/>
  <c r="I82" i="1"/>
  <c r="H82" i="1"/>
  <c r="G82" i="1"/>
  <c r="B82" i="1"/>
  <c r="A82" i="1"/>
  <c r="V81" i="1"/>
  <c r="U81" i="1"/>
  <c r="T81" i="1"/>
  <c r="R81" i="1"/>
  <c r="Q81" i="1"/>
  <c r="P81" i="1"/>
  <c r="O81" i="1"/>
  <c r="N81" i="1"/>
  <c r="L81" i="1"/>
  <c r="K81" i="1"/>
  <c r="J81" i="1"/>
  <c r="M81" i="1" s="1"/>
  <c r="I81" i="1"/>
  <c r="H81" i="1"/>
  <c r="G81" i="1"/>
  <c r="B81" i="1"/>
  <c r="A81" i="1"/>
  <c r="V80" i="1"/>
  <c r="U80" i="1"/>
  <c r="T80" i="1"/>
  <c r="R80" i="1"/>
  <c r="Q80" i="1"/>
  <c r="P80" i="1"/>
  <c r="O80" i="1"/>
  <c r="N80" i="1"/>
  <c r="M80" i="1"/>
  <c r="L80" i="1"/>
  <c r="K80" i="1"/>
  <c r="J80" i="1"/>
  <c r="I80" i="1"/>
  <c r="H80" i="1"/>
  <c r="G80" i="1"/>
  <c r="B80" i="1"/>
  <c r="A80" i="1"/>
  <c r="V79" i="1"/>
  <c r="U79" i="1"/>
  <c r="T79" i="1"/>
  <c r="R79" i="1"/>
  <c r="Q79" i="1"/>
  <c r="P79" i="1"/>
  <c r="O79" i="1"/>
  <c r="N79" i="1"/>
  <c r="L79" i="1"/>
  <c r="K79" i="1"/>
  <c r="J79" i="1"/>
  <c r="M79" i="1" s="1"/>
  <c r="I79" i="1"/>
  <c r="H79" i="1"/>
  <c r="G79" i="1"/>
  <c r="B79" i="1"/>
  <c r="A79" i="1"/>
  <c r="V78" i="1"/>
  <c r="U78" i="1"/>
  <c r="T78" i="1"/>
  <c r="R78" i="1"/>
  <c r="Q78" i="1"/>
  <c r="P78" i="1"/>
  <c r="O78" i="1"/>
  <c r="N78" i="1"/>
  <c r="L78" i="1"/>
  <c r="K78" i="1"/>
  <c r="M78" i="1" s="1"/>
  <c r="J78" i="1"/>
  <c r="I78" i="1"/>
  <c r="H78" i="1"/>
  <c r="G78" i="1"/>
  <c r="B78" i="1"/>
  <c r="A78" i="1"/>
  <c r="V77" i="1"/>
  <c r="U77" i="1"/>
  <c r="T77" i="1"/>
  <c r="R77" i="1"/>
  <c r="Q77" i="1"/>
  <c r="P77" i="1"/>
  <c r="O77" i="1"/>
  <c r="N77" i="1"/>
  <c r="L77" i="1"/>
  <c r="K77" i="1"/>
  <c r="J77" i="1"/>
  <c r="M77" i="1" s="1"/>
  <c r="I77" i="1"/>
  <c r="H77" i="1"/>
  <c r="G77" i="1"/>
  <c r="B77" i="1"/>
  <c r="A77" i="1"/>
  <c r="V76" i="1"/>
  <c r="U76" i="1"/>
  <c r="T76" i="1"/>
  <c r="R76" i="1"/>
  <c r="Q76" i="1"/>
  <c r="P76" i="1"/>
  <c r="O76" i="1"/>
  <c r="N76" i="1"/>
  <c r="L76" i="1"/>
  <c r="K76" i="1"/>
  <c r="J76" i="1"/>
  <c r="M76" i="1" s="1"/>
  <c r="I76" i="1"/>
  <c r="H76" i="1"/>
  <c r="G76" i="1"/>
  <c r="B76" i="1"/>
  <c r="A76" i="1"/>
  <c r="V75" i="1"/>
  <c r="U75" i="1"/>
  <c r="T75" i="1"/>
  <c r="R75" i="1"/>
  <c r="Q75" i="1"/>
  <c r="P75" i="1"/>
  <c r="O75" i="1"/>
  <c r="N75" i="1"/>
  <c r="L75" i="1"/>
  <c r="K75" i="1"/>
  <c r="M75" i="1" s="1"/>
  <c r="J75" i="1"/>
  <c r="I75" i="1"/>
  <c r="H75" i="1"/>
  <c r="G75" i="1"/>
  <c r="B75" i="1"/>
  <c r="A75" i="1"/>
  <c r="V74" i="1"/>
  <c r="U74" i="1"/>
  <c r="T74" i="1"/>
  <c r="R74" i="1"/>
  <c r="Q74" i="1"/>
  <c r="P74" i="1"/>
  <c r="O74" i="1"/>
  <c r="N74" i="1"/>
  <c r="L74" i="1"/>
  <c r="K74" i="1"/>
  <c r="J74" i="1"/>
  <c r="M74" i="1" s="1"/>
  <c r="I74" i="1"/>
  <c r="H74" i="1"/>
  <c r="G74" i="1"/>
  <c r="B74" i="1"/>
  <c r="A74" i="1"/>
  <c r="V73" i="1"/>
  <c r="U73" i="1"/>
  <c r="T73" i="1"/>
  <c r="R73" i="1"/>
  <c r="Q73" i="1"/>
  <c r="P73" i="1"/>
  <c r="O73" i="1"/>
  <c r="N73" i="1"/>
  <c r="M73" i="1"/>
  <c r="L73" i="1"/>
  <c r="K73" i="1"/>
  <c r="J73" i="1"/>
  <c r="I73" i="1"/>
  <c r="H73" i="1"/>
  <c r="G73" i="1"/>
  <c r="B73" i="1"/>
  <c r="A73" i="1"/>
  <c r="V72" i="1"/>
  <c r="U72" i="1"/>
  <c r="T72" i="1"/>
  <c r="R72" i="1"/>
  <c r="Q72" i="1"/>
  <c r="P72" i="1"/>
  <c r="O72" i="1"/>
  <c r="N72" i="1"/>
  <c r="L72" i="1"/>
  <c r="K72" i="1"/>
  <c r="J72" i="1"/>
  <c r="M72" i="1" s="1"/>
  <c r="I72" i="1"/>
  <c r="H72" i="1"/>
  <c r="G72" i="1"/>
  <c r="B72" i="1"/>
  <c r="A72" i="1"/>
  <c r="V71" i="1"/>
  <c r="U71" i="1"/>
  <c r="T71" i="1"/>
  <c r="R71" i="1"/>
  <c r="Q71" i="1"/>
  <c r="P71" i="1"/>
  <c r="O71" i="1"/>
  <c r="N71" i="1"/>
  <c r="L71" i="1"/>
  <c r="K71" i="1"/>
  <c r="J71" i="1"/>
  <c r="M71" i="1" s="1"/>
  <c r="I71" i="1"/>
  <c r="H71" i="1"/>
  <c r="G71" i="1"/>
  <c r="B71" i="1"/>
  <c r="A71" i="1"/>
  <c r="V70" i="1"/>
  <c r="U70" i="1"/>
  <c r="T70" i="1"/>
  <c r="R70" i="1"/>
  <c r="Q70" i="1"/>
  <c r="P70" i="1"/>
  <c r="O70" i="1"/>
  <c r="N70" i="1"/>
  <c r="L70" i="1"/>
  <c r="K70" i="1"/>
  <c r="J70" i="1"/>
  <c r="M70" i="1" s="1"/>
  <c r="I70" i="1"/>
  <c r="H70" i="1"/>
  <c r="G70" i="1"/>
  <c r="B70" i="1"/>
  <c r="A70" i="1"/>
  <c r="V69" i="1"/>
  <c r="U69" i="1"/>
  <c r="T69" i="1"/>
  <c r="R69" i="1"/>
  <c r="Q69" i="1"/>
  <c r="P69" i="1"/>
  <c r="O69" i="1"/>
  <c r="N69" i="1"/>
  <c r="L69" i="1"/>
  <c r="K69" i="1"/>
  <c r="J69" i="1"/>
  <c r="M69" i="1" s="1"/>
  <c r="I69" i="1"/>
  <c r="H69" i="1"/>
  <c r="G69" i="1"/>
  <c r="B69" i="1"/>
  <c r="A69" i="1"/>
  <c r="V68" i="1"/>
  <c r="U68" i="1"/>
  <c r="T68" i="1"/>
  <c r="R68" i="1"/>
  <c r="Q68" i="1"/>
  <c r="P68" i="1"/>
  <c r="O68" i="1"/>
  <c r="N68" i="1"/>
  <c r="M68" i="1"/>
  <c r="L68" i="1"/>
  <c r="K68" i="1"/>
  <c r="J68" i="1"/>
  <c r="I68" i="1"/>
  <c r="H68" i="1"/>
  <c r="G68" i="1"/>
  <c r="B68" i="1"/>
  <c r="A68" i="1"/>
  <c r="V67" i="1"/>
  <c r="U67" i="1"/>
  <c r="T67" i="1"/>
  <c r="R67" i="1"/>
  <c r="Q67" i="1"/>
  <c r="P67" i="1"/>
  <c r="O67" i="1"/>
  <c r="N67" i="1"/>
  <c r="L67" i="1"/>
  <c r="K67" i="1"/>
  <c r="J67" i="1"/>
  <c r="M67" i="1" s="1"/>
  <c r="I67" i="1"/>
  <c r="H67" i="1"/>
  <c r="G67" i="1"/>
  <c r="B67" i="1"/>
  <c r="A67" i="1"/>
  <c r="V66" i="1"/>
  <c r="U66" i="1"/>
  <c r="T66" i="1"/>
  <c r="R66" i="1"/>
  <c r="Q66" i="1"/>
  <c r="P66" i="1"/>
  <c r="O66" i="1"/>
  <c r="N66" i="1"/>
  <c r="L66" i="1"/>
  <c r="K66" i="1"/>
  <c r="M66" i="1" s="1"/>
  <c r="J66" i="1"/>
  <c r="I66" i="1"/>
  <c r="H66" i="1"/>
  <c r="G66" i="1"/>
  <c r="B66" i="1"/>
  <c r="A66" i="1"/>
  <c r="V65" i="1"/>
  <c r="U65" i="1"/>
  <c r="T65" i="1"/>
  <c r="R65" i="1"/>
  <c r="Q65" i="1"/>
  <c r="P65" i="1"/>
  <c r="O65" i="1"/>
  <c r="N65" i="1"/>
  <c r="L65" i="1"/>
  <c r="K65" i="1"/>
  <c r="J65" i="1"/>
  <c r="M65" i="1" s="1"/>
  <c r="I65" i="1"/>
  <c r="H65" i="1"/>
  <c r="G65" i="1"/>
  <c r="B65" i="1"/>
  <c r="A65" i="1"/>
  <c r="V64" i="1"/>
  <c r="U64" i="1"/>
  <c r="T64" i="1"/>
  <c r="R64" i="1"/>
  <c r="Q64" i="1"/>
  <c r="P64" i="1"/>
  <c r="O64" i="1"/>
  <c r="N64" i="1"/>
  <c r="L64" i="1"/>
  <c r="K64" i="1"/>
  <c r="J64" i="1"/>
  <c r="M64" i="1" s="1"/>
  <c r="I64" i="1"/>
  <c r="H64" i="1"/>
  <c r="G64" i="1"/>
  <c r="B64" i="1"/>
  <c r="A64" i="1"/>
  <c r="V63" i="1"/>
  <c r="U63" i="1"/>
  <c r="T63" i="1"/>
  <c r="R63" i="1"/>
  <c r="Q63" i="1"/>
  <c r="P63" i="1"/>
  <c r="O63" i="1"/>
  <c r="N63" i="1"/>
  <c r="L63" i="1"/>
  <c r="K63" i="1"/>
  <c r="M63" i="1" s="1"/>
  <c r="J63" i="1"/>
  <c r="I63" i="1"/>
  <c r="H63" i="1"/>
  <c r="G63" i="1"/>
  <c r="B63" i="1"/>
  <c r="A63" i="1"/>
  <c r="V62" i="1"/>
  <c r="U62" i="1"/>
  <c r="T62" i="1"/>
  <c r="R62" i="1"/>
  <c r="Q62" i="1"/>
  <c r="P62" i="1"/>
  <c r="O62" i="1"/>
  <c r="N62" i="1"/>
  <c r="L62" i="1"/>
  <c r="K62" i="1"/>
  <c r="J62" i="1"/>
  <c r="M62" i="1" s="1"/>
  <c r="I62" i="1"/>
  <c r="H62" i="1"/>
  <c r="G62" i="1"/>
  <c r="B62" i="1"/>
  <c r="A62" i="1"/>
  <c r="V61" i="1"/>
  <c r="U61" i="1"/>
  <c r="T61" i="1"/>
  <c r="R61" i="1"/>
  <c r="Q61" i="1"/>
  <c r="P61" i="1"/>
  <c r="O61" i="1"/>
  <c r="N61" i="1"/>
  <c r="M61" i="1"/>
  <c r="L61" i="1"/>
  <c r="K61" i="1"/>
  <c r="J61" i="1"/>
  <c r="I61" i="1"/>
  <c r="H61" i="1"/>
  <c r="G61" i="1"/>
  <c r="B61" i="1"/>
  <c r="A61" i="1"/>
  <c r="V60" i="1"/>
  <c r="S60" i="1"/>
  <c r="U60" i="1" s="1"/>
  <c r="R60" i="1"/>
  <c r="Q60" i="1"/>
  <c r="P60" i="1"/>
  <c r="O60" i="1"/>
  <c r="N60" i="1"/>
  <c r="L60" i="1"/>
  <c r="K60" i="1"/>
  <c r="J60" i="1"/>
  <c r="M60" i="1" s="1"/>
  <c r="I60" i="1"/>
  <c r="H60" i="1"/>
  <c r="G60" i="1"/>
  <c r="B60" i="1"/>
  <c r="A60" i="1"/>
  <c r="U59" i="1"/>
  <c r="T59" i="1"/>
  <c r="R59" i="1"/>
  <c r="Q59" i="1"/>
  <c r="P59" i="1"/>
  <c r="O59" i="1"/>
  <c r="N59" i="1"/>
  <c r="L59" i="1"/>
  <c r="K59" i="1"/>
  <c r="J59" i="1"/>
  <c r="M59" i="1" s="1"/>
  <c r="I59" i="1"/>
  <c r="H59" i="1"/>
  <c r="G59" i="1"/>
  <c r="B59" i="1"/>
  <c r="A59" i="1"/>
  <c r="V58" i="1"/>
  <c r="U58" i="1"/>
  <c r="T58" i="1"/>
  <c r="R58" i="1"/>
  <c r="Q58" i="1"/>
  <c r="P58" i="1"/>
  <c r="O58" i="1"/>
  <c r="N58" i="1"/>
  <c r="L58" i="1"/>
  <c r="K58" i="1"/>
  <c r="J58" i="1"/>
  <c r="M58" i="1" s="1"/>
  <c r="I58" i="1"/>
  <c r="H58" i="1"/>
  <c r="G58" i="1"/>
  <c r="B58" i="1"/>
  <c r="A58" i="1"/>
  <c r="V57" i="1"/>
  <c r="U57" i="1"/>
  <c r="T57" i="1"/>
  <c r="R57" i="1"/>
  <c r="Q57" i="1"/>
  <c r="P57" i="1"/>
  <c r="O57" i="1"/>
  <c r="N57" i="1"/>
  <c r="L57" i="1"/>
  <c r="K57" i="1"/>
  <c r="J57" i="1"/>
  <c r="M57" i="1" s="1"/>
  <c r="I57" i="1"/>
  <c r="H57" i="1"/>
  <c r="G57" i="1"/>
  <c r="B57" i="1"/>
  <c r="A57" i="1"/>
  <c r="V56" i="1"/>
  <c r="U56" i="1"/>
  <c r="T56" i="1"/>
  <c r="R56" i="1"/>
  <c r="Q56" i="1"/>
  <c r="P56" i="1"/>
  <c r="O56" i="1"/>
  <c r="N56" i="1"/>
  <c r="M56" i="1"/>
  <c r="L56" i="1"/>
  <c r="K56" i="1"/>
  <c r="J56" i="1"/>
  <c r="I56" i="1"/>
  <c r="H56" i="1"/>
  <c r="G56" i="1"/>
  <c r="B56" i="1"/>
  <c r="A56" i="1"/>
  <c r="V55" i="1"/>
  <c r="U55" i="1"/>
  <c r="T55" i="1"/>
  <c r="R55" i="1"/>
  <c r="Q55" i="1"/>
  <c r="P55" i="1"/>
  <c r="O55" i="1"/>
  <c r="N55" i="1"/>
  <c r="L55" i="1"/>
  <c r="K55" i="1"/>
  <c r="J55" i="1"/>
  <c r="M55" i="1" s="1"/>
  <c r="I55" i="1"/>
  <c r="H55" i="1"/>
  <c r="G55" i="1"/>
  <c r="B55" i="1"/>
  <c r="A55" i="1"/>
  <c r="V54" i="1"/>
  <c r="U54" i="1"/>
  <c r="T54" i="1"/>
  <c r="R54" i="1"/>
  <c r="Q54" i="1"/>
  <c r="P54" i="1"/>
  <c r="O54" i="1"/>
  <c r="N54" i="1"/>
  <c r="L54" i="1"/>
  <c r="K54" i="1"/>
  <c r="M54" i="1" s="1"/>
  <c r="J54" i="1"/>
  <c r="I54" i="1"/>
  <c r="H54" i="1"/>
  <c r="G54" i="1"/>
  <c r="B54" i="1"/>
  <c r="A54" i="1"/>
  <c r="V53" i="1"/>
  <c r="U53" i="1"/>
  <c r="T53" i="1"/>
  <c r="R53" i="1"/>
  <c r="Q53" i="1"/>
  <c r="P53" i="1"/>
  <c r="O53" i="1"/>
  <c r="N53" i="1"/>
  <c r="L53" i="1"/>
  <c r="K53" i="1"/>
  <c r="J53" i="1"/>
  <c r="M53" i="1" s="1"/>
  <c r="I53" i="1"/>
  <c r="H53" i="1"/>
  <c r="G53" i="1"/>
  <c r="B53" i="1"/>
  <c r="A53" i="1"/>
  <c r="V52" i="1"/>
  <c r="U52" i="1"/>
  <c r="T52" i="1"/>
  <c r="R52" i="1"/>
  <c r="Q52" i="1"/>
  <c r="P52" i="1"/>
  <c r="O52" i="1"/>
  <c r="N52" i="1"/>
  <c r="L52" i="1"/>
  <c r="K52" i="1"/>
  <c r="J52" i="1"/>
  <c r="M52" i="1" s="1"/>
  <c r="I52" i="1"/>
  <c r="H52" i="1"/>
  <c r="G52" i="1"/>
  <c r="B52" i="1"/>
  <c r="A52" i="1"/>
  <c r="V51" i="1"/>
  <c r="U51" i="1"/>
  <c r="T51" i="1"/>
  <c r="R51" i="1"/>
  <c r="Q51" i="1"/>
  <c r="P51" i="1"/>
  <c r="O51" i="1"/>
  <c r="N51" i="1"/>
  <c r="L51" i="1"/>
  <c r="K51" i="1"/>
  <c r="M51" i="1" s="1"/>
  <c r="J51" i="1"/>
  <c r="I51" i="1"/>
  <c r="H51" i="1"/>
  <c r="G51" i="1"/>
  <c r="B51" i="1"/>
  <c r="A51" i="1"/>
  <c r="V50" i="1"/>
  <c r="U50" i="1"/>
  <c r="T50" i="1"/>
  <c r="R50" i="1"/>
  <c r="Q50" i="1"/>
  <c r="P50" i="1"/>
  <c r="O50" i="1"/>
  <c r="N50" i="1"/>
  <c r="L50" i="1"/>
  <c r="K50" i="1"/>
  <c r="J50" i="1"/>
  <c r="M50" i="1" s="1"/>
  <c r="I50" i="1"/>
  <c r="H50" i="1"/>
  <c r="G50" i="1"/>
  <c r="B50" i="1"/>
  <c r="A50" i="1"/>
  <c r="V49" i="1"/>
  <c r="U49" i="1"/>
  <c r="T49" i="1"/>
  <c r="R49" i="1"/>
  <c r="Q49" i="1"/>
  <c r="P49" i="1"/>
  <c r="O49" i="1"/>
  <c r="N49" i="1"/>
  <c r="M49" i="1"/>
  <c r="L49" i="1"/>
  <c r="K49" i="1"/>
  <c r="J49" i="1"/>
  <c r="I49" i="1"/>
  <c r="H49" i="1"/>
  <c r="G49" i="1"/>
  <c r="B49" i="1"/>
  <c r="A49" i="1"/>
  <c r="V48" i="1"/>
  <c r="U48" i="1"/>
  <c r="T48" i="1"/>
  <c r="R48" i="1"/>
  <c r="Q48" i="1"/>
  <c r="P48" i="1"/>
  <c r="O48" i="1"/>
  <c r="N48" i="1"/>
  <c r="L48" i="1"/>
  <c r="K48" i="1"/>
  <c r="J48" i="1"/>
  <c r="M48" i="1" s="1"/>
  <c r="I48" i="1"/>
  <c r="H48" i="1"/>
  <c r="G48" i="1"/>
  <c r="B48" i="1"/>
  <c r="A48" i="1"/>
  <c r="V47" i="1"/>
  <c r="U47" i="1"/>
  <c r="T47" i="1"/>
  <c r="R47" i="1"/>
  <c r="Q47" i="1"/>
  <c r="P47" i="1"/>
  <c r="O47" i="1"/>
  <c r="N47" i="1"/>
  <c r="L47" i="1"/>
  <c r="K47" i="1"/>
  <c r="J47" i="1"/>
  <c r="M47" i="1" s="1"/>
  <c r="I47" i="1"/>
  <c r="H47" i="1"/>
  <c r="G47" i="1"/>
  <c r="B47" i="1"/>
  <c r="A47" i="1"/>
  <c r="V46" i="1"/>
  <c r="U46" i="1"/>
  <c r="T46" i="1"/>
  <c r="R46" i="1"/>
  <c r="Q46" i="1"/>
  <c r="P46" i="1"/>
  <c r="O46" i="1"/>
  <c r="N46" i="1"/>
  <c r="L46" i="1"/>
  <c r="K46" i="1"/>
  <c r="J46" i="1"/>
  <c r="M46" i="1" s="1"/>
  <c r="I46" i="1"/>
  <c r="H46" i="1"/>
  <c r="G46" i="1"/>
  <c r="B46" i="1"/>
  <c r="A46" i="1"/>
  <c r="V45" i="1"/>
  <c r="U45" i="1"/>
  <c r="T45" i="1"/>
  <c r="R45" i="1"/>
  <c r="Q45" i="1"/>
  <c r="P45" i="1"/>
  <c r="O45" i="1"/>
  <c r="N45" i="1"/>
  <c r="L45" i="1"/>
  <c r="K45" i="1"/>
  <c r="J45" i="1"/>
  <c r="M45" i="1" s="1"/>
  <c r="I45" i="1"/>
  <c r="H45" i="1"/>
  <c r="G45" i="1"/>
  <c r="B45" i="1"/>
  <c r="A45" i="1"/>
  <c r="V44" i="1"/>
  <c r="U44" i="1"/>
  <c r="T44" i="1"/>
  <c r="R44" i="1"/>
  <c r="Q44" i="1"/>
  <c r="P44" i="1"/>
  <c r="O44" i="1"/>
  <c r="N44" i="1"/>
  <c r="M44" i="1"/>
  <c r="L44" i="1"/>
  <c r="K44" i="1"/>
  <c r="J44" i="1"/>
  <c r="I44" i="1"/>
  <c r="H44" i="1"/>
  <c r="G44" i="1"/>
  <c r="B44" i="1"/>
  <c r="A44" i="1"/>
  <c r="V43" i="1"/>
  <c r="U43" i="1"/>
  <c r="T43" i="1"/>
  <c r="R43" i="1"/>
  <c r="Q43" i="1"/>
  <c r="P43" i="1"/>
  <c r="O43" i="1"/>
  <c r="N43" i="1"/>
  <c r="L43" i="1"/>
  <c r="K43" i="1"/>
  <c r="J43" i="1"/>
  <c r="M43" i="1" s="1"/>
  <c r="I43" i="1"/>
  <c r="H43" i="1"/>
  <c r="G43" i="1"/>
  <c r="B43" i="1"/>
  <c r="A43" i="1"/>
  <c r="V42" i="1"/>
  <c r="U42" i="1"/>
  <c r="T42" i="1"/>
  <c r="R42" i="1"/>
  <c r="Q42" i="1"/>
  <c r="P42" i="1"/>
  <c r="O42" i="1"/>
  <c r="N42" i="1"/>
  <c r="L42" i="1"/>
  <c r="K42" i="1"/>
  <c r="M42" i="1" s="1"/>
  <c r="J42" i="1"/>
  <c r="I42" i="1"/>
  <c r="H42" i="1"/>
  <c r="G42" i="1"/>
  <c r="B42" i="1"/>
  <c r="A42" i="1"/>
  <c r="V41" i="1"/>
  <c r="U41" i="1"/>
  <c r="T41" i="1"/>
  <c r="R41" i="1"/>
  <c r="Q41" i="1"/>
  <c r="P41" i="1"/>
  <c r="O41" i="1"/>
  <c r="N41" i="1"/>
  <c r="L41" i="1"/>
  <c r="K41" i="1"/>
  <c r="J41" i="1"/>
  <c r="M41" i="1" s="1"/>
  <c r="I41" i="1"/>
  <c r="H41" i="1"/>
  <c r="G41" i="1"/>
  <c r="B41" i="1"/>
  <c r="A41" i="1"/>
  <c r="V40" i="1"/>
  <c r="U40" i="1"/>
  <c r="T40" i="1"/>
  <c r="R40" i="1"/>
  <c r="Q40" i="1"/>
  <c r="P40" i="1"/>
  <c r="O40" i="1"/>
  <c r="N40" i="1"/>
  <c r="L40" i="1"/>
  <c r="K40" i="1"/>
  <c r="J40" i="1"/>
  <c r="M40" i="1" s="1"/>
  <c r="I40" i="1"/>
  <c r="H40" i="1"/>
  <c r="G40" i="1"/>
  <c r="B40" i="1"/>
  <c r="A40" i="1"/>
  <c r="V39" i="1"/>
  <c r="U39" i="1"/>
  <c r="T39" i="1"/>
  <c r="R39" i="1"/>
  <c r="Q39" i="1"/>
  <c r="P39" i="1"/>
  <c r="O39" i="1"/>
  <c r="N39" i="1"/>
  <c r="L39" i="1"/>
  <c r="K39" i="1"/>
  <c r="J39" i="1"/>
  <c r="M39" i="1" s="1"/>
  <c r="I39" i="1"/>
  <c r="H39" i="1"/>
  <c r="G39" i="1"/>
  <c r="B39" i="1"/>
  <c r="A39" i="1"/>
  <c r="U38" i="1"/>
  <c r="T38" i="1"/>
  <c r="R38" i="1"/>
  <c r="Q38" i="1"/>
  <c r="P38" i="1"/>
  <c r="O38" i="1"/>
  <c r="N38" i="1"/>
  <c r="L38" i="1"/>
  <c r="K38" i="1"/>
  <c r="J38" i="1"/>
  <c r="M38" i="1" s="1"/>
  <c r="I38" i="1"/>
  <c r="H38" i="1"/>
  <c r="G38" i="1"/>
  <c r="B38" i="1"/>
  <c r="A38" i="1"/>
  <c r="V37" i="1"/>
  <c r="U37" i="1"/>
  <c r="T37" i="1"/>
  <c r="R37" i="1"/>
  <c r="Q37" i="1"/>
  <c r="P37" i="1"/>
  <c r="O37" i="1"/>
  <c r="N37" i="1"/>
  <c r="L37" i="1"/>
  <c r="K37" i="1"/>
  <c r="M37" i="1" s="1"/>
  <c r="J37" i="1"/>
  <c r="I37" i="1"/>
  <c r="H37" i="1"/>
  <c r="G37" i="1"/>
  <c r="B37" i="1"/>
  <c r="A37" i="1"/>
  <c r="V36" i="1"/>
  <c r="U36" i="1"/>
  <c r="T36" i="1"/>
  <c r="R36" i="1"/>
  <c r="Q36" i="1"/>
  <c r="P36" i="1"/>
  <c r="O36" i="1"/>
  <c r="N36" i="1"/>
  <c r="L36" i="1"/>
  <c r="K36" i="1"/>
  <c r="J36" i="1"/>
  <c r="M36" i="1" s="1"/>
  <c r="I36" i="1"/>
  <c r="H36" i="1"/>
  <c r="G36" i="1"/>
  <c r="B36" i="1"/>
  <c r="A36" i="1"/>
  <c r="V35" i="1"/>
  <c r="U35" i="1"/>
  <c r="T35" i="1"/>
  <c r="R35" i="1"/>
  <c r="Q35" i="1"/>
  <c r="P35" i="1"/>
  <c r="O35" i="1"/>
  <c r="N35" i="1"/>
  <c r="L35" i="1"/>
  <c r="K35" i="1"/>
  <c r="J35" i="1"/>
  <c r="M35" i="1" s="1"/>
  <c r="I35" i="1"/>
  <c r="H35" i="1"/>
  <c r="G35" i="1"/>
  <c r="B35" i="1"/>
  <c r="A35" i="1"/>
  <c r="V34" i="1"/>
  <c r="U34" i="1"/>
  <c r="T34" i="1"/>
  <c r="R34" i="1"/>
  <c r="Q34" i="1"/>
  <c r="P34" i="1"/>
  <c r="O34" i="1"/>
  <c r="N34" i="1"/>
  <c r="L34" i="1"/>
  <c r="K34" i="1"/>
  <c r="M34" i="1" s="1"/>
  <c r="J34" i="1"/>
  <c r="I34" i="1"/>
  <c r="H34" i="1"/>
  <c r="G34" i="1"/>
  <c r="B34" i="1"/>
  <c r="A34" i="1"/>
  <c r="V33" i="1"/>
  <c r="U33" i="1"/>
  <c r="T33" i="1"/>
  <c r="S33" i="1"/>
  <c r="R33" i="1"/>
  <c r="Q33" i="1"/>
  <c r="P33" i="1"/>
  <c r="O33" i="1"/>
  <c r="N33" i="1"/>
  <c r="L33" i="1"/>
  <c r="K33" i="1"/>
  <c r="J33" i="1"/>
  <c r="M33" i="1" s="1"/>
  <c r="I33" i="1"/>
  <c r="H33" i="1"/>
  <c r="G33" i="1"/>
  <c r="B33" i="1"/>
  <c r="A33" i="1"/>
  <c r="V32" i="1"/>
  <c r="U32" i="1"/>
  <c r="T32" i="1"/>
  <c r="R32" i="1"/>
  <c r="Q32" i="1"/>
  <c r="P32" i="1"/>
  <c r="O32" i="1"/>
  <c r="N32" i="1"/>
  <c r="M32" i="1"/>
  <c r="L32" i="1"/>
  <c r="K32" i="1"/>
  <c r="J32" i="1"/>
  <c r="I32" i="1"/>
  <c r="H32" i="1"/>
  <c r="G32" i="1"/>
  <c r="B32" i="1"/>
  <c r="A32" i="1"/>
  <c r="V31" i="1"/>
  <c r="U31" i="1"/>
  <c r="T31" i="1"/>
  <c r="R31" i="1"/>
  <c r="Q31" i="1"/>
  <c r="P31" i="1"/>
  <c r="O31" i="1"/>
  <c r="N31" i="1"/>
  <c r="L31" i="1"/>
  <c r="K31" i="1"/>
  <c r="J31" i="1"/>
  <c r="M31" i="1" s="1"/>
  <c r="I31" i="1"/>
  <c r="H31" i="1"/>
  <c r="G31" i="1"/>
  <c r="B31" i="1"/>
  <c r="A31" i="1"/>
  <c r="V30" i="1"/>
  <c r="U30" i="1"/>
  <c r="S30" i="1"/>
  <c r="T30" i="1" s="1"/>
  <c r="R30" i="1"/>
  <c r="Q30" i="1"/>
  <c r="P30" i="1"/>
  <c r="O30" i="1"/>
  <c r="N30" i="1"/>
  <c r="M30" i="1"/>
  <c r="L30" i="1"/>
  <c r="K30" i="1"/>
  <c r="J30" i="1"/>
  <c r="I30" i="1"/>
  <c r="H30" i="1"/>
  <c r="G30" i="1"/>
  <c r="B30" i="1"/>
  <c r="A30" i="1"/>
  <c r="V29" i="1"/>
  <c r="U29" i="1"/>
  <c r="T29" i="1"/>
  <c r="R29" i="1"/>
  <c r="Q29" i="1"/>
  <c r="P29" i="1"/>
  <c r="O29" i="1"/>
  <c r="N29" i="1"/>
  <c r="L29" i="1"/>
  <c r="K29" i="1"/>
  <c r="J29" i="1"/>
  <c r="M29" i="1" s="1"/>
  <c r="I29" i="1"/>
  <c r="H29" i="1"/>
  <c r="G29" i="1"/>
  <c r="B29" i="1"/>
  <c r="A29" i="1"/>
  <c r="V28" i="1"/>
  <c r="U28" i="1"/>
  <c r="T28" i="1"/>
  <c r="R28" i="1"/>
  <c r="Q28" i="1"/>
  <c r="P28" i="1"/>
  <c r="O28" i="1"/>
  <c r="N28" i="1"/>
  <c r="L28" i="1"/>
  <c r="K28" i="1"/>
  <c r="J28" i="1"/>
  <c r="M28" i="1" s="1"/>
  <c r="I28" i="1"/>
  <c r="H28" i="1"/>
  <c r="G28" i="1"/>
  <c r="B28" i="1"/>
  <c r="A28" i="1"/>
  <c r="V27" i="1"/>
  <c r="U27" i="1"/>
  <c r="T27" i="1"/>
  <c r="R27" i="1"/>
  <c r="Q27" i="1"/>
  <c r="P27" i="1"/>
  <c r="O27" i="1"/>
  <c r="N27" i="1"/>
  <c r="L27" i="1"/>
  <c r="K27" i="1"/>
  <c r="J27" i="1"/>
  <c r="M27" i="1" s="1"/>
  <c r="I27" i="1"/>
  <c r="H27" i="1"/>
  <c r="G27" i="1"/>
  <c r="B27" i="1"/>
  <c r="A27" i="1"/>
  <c r="V26" i="1"/>
  <c r="U26" i="1"/>
  <c r="T26" i="1"/>
  <c r="R26" i="1"/>
  <c r="Q26" i="1"/>
  <c r="P26" i="1"/>
  <c r="O26" i="1"/>
  <c r="N26" i="1"/>
  <c r="L26" i="1"/>
  <c r="K26" i="1"/>
  <c r="J26" i="1"/>
  <c r="M26" i="1" s="1"/>
  <c r="I26" i="1"/>
  <c r="H26" i="1"/>
  <c r="G26" i="1"/>
  <c r="B26" i="1"/>
  <c r="A26" i="1"/>
  <c r="V25" i="1"/>
  <c r="U25" i="1"/>
  <c r="T25" i="1"/>
  <c r="R25" i="1"/>
  <c r="Q25" i="1"/>
  <c r="P25" i="1"/>
  <c r="O25" i="1"/>
  <c r="N25" i="1"/>
  <c r="M25" i="1"/>
  <c r="L25" i="1"/>
  <c r="K25" i="1"/>
  <c r="J25" i="1"/>
  <c r="I25" i="1"/>
  <c r="H25" i="1"/>
  <c r="G25" i="1"/>
  <c r="B25" i="1"/>
  <c r="A25" i="1"/>
  <c r="V24" i="1"/>
  <c r="U24" i="1"/>
  <c r="T24" i="1"/>
  <c r="R24" i="1"/>
  <c r="Q24" i="1"/>
  <c r="P24" i="1"/>
  <c r="O24" i="1"/>
  <c r="N24" i="1"/>
  <c r="L24" i="1"/>
  <c r="K24" i="1"/>
  <c r="J24" i="1"/>
  <c r="M24" i="1" s="1"/>
  <c r="I24" i="1"/>
  <c r="H24" i="1"/>
  <c r="G24" i="1"/>
  <c r="B24" i="1"/>
  <c r="A24" i="1"/>
  <c r="V23" i="1"/>
  <c r="U23" i="1"/>
  <c r="T23" i="1"/>
  <c r="R23" i="1"/>
  <c r="Q23" i="1"/>
  <c r="P23" i="1"/>
  <c r="O23" i="1"/>
  <c r="N23" i="1"/>
  <c r="L23" i="1"/>
  <c r="K23" i="1"/>
  <c r="M23" i="1" s="1"/>
  <c r="J23" i="1"/>
  <c r="I23" i="1"/>
  <c r="H23" i="1"/>
  <c r="G23" i="1"/>
  <c r="B23" i="1"/>
  <c r="A23" i="1"/>
  <c r="V22" i="1"/>
  <c r="U22" i="1"/>
  <c r="T22" i="1"/>
  <c r="R22" i="1"/>
  <c r="Q22" i="1"/>
  <c r="P22" i="1"/>
  <c r="O22" i="1"/>
  <c r="N22" i="1"/>
  <c r="L22" i="1"/>
  <c r="K22" i="1"/>
  <c r="J22" i="1"/>
  <c r="M22" i="1" s="1"/>
  <c r="I22" i="1"/>
  <c r="H22" i="1"/>
  <c r="G22" i="1"/>
  <c r="B22" i="1"/>
  <c r="A22" i="1"/>
  <c r="V21" i="1"/>
  <c r="U21" i="1"/>
  <c r="T21" i="1"/>
  <c r="R21" i="1"/>
  <c r="Q21" i="1"/>
  <c r="P21" i="1"/>
  <c r="O21" i="1"/>
  <c r="N21" i="1"/>
  <c r="L21" i="1"/>
  <c r="K21" i="1"/>
  <c r="J21" i="1"/>
  <c r="M21" i="1" s="1"/>
  <c r="I21" i="1"/>
  <c r="H21" i="1"/>
  <c r="G21" i="1"/>
  <c r="B21" i="1"/>
  <c r="A21" i="1"/>
  <c r="V20" i="1"/>
  <c r="U20" i="1"/>
  <c r="T20" i="1"/>
  <c r="R20" i="1"/>
  <c r="Q20" i="1"/>
  <c r="P20" i="1"/>
  <c r="O20" i="1"/>
  <c r="N20" i="1"/>
  <c r="L20" i="1"/>
  <c r="K20" i="1"/>
  <c r="M20" i="1" s="1"/>
  <c r="J20" i="1"/>
  <c r="I20" i="1"/>
  <c r="H20" i="1"/>
  <c r="G20" i="1"/>
  <c r="B20" i="1"/>
  <c r="A20" i="1"/>
  <c r="U19" i="1"/>
  <c r="T19" i="1"/>
  <c r="R19" i="1"/>
  <c r="Q19" i="1"/>
  <c r="P19" i="1"/>
  <c r="O19" i="1"/>
  <c r="N19" i="1"/>
  <c r="L19" i="1"/>
  <c r="K19" i="1"/>
  <c r="J19" i="1"/>
  <c r="M19" i="1" s="1"/>
  <c r="I19" i="1"/>
  <c r="H19" i="1"/>
  <c r="G19" i="1"/>
  <c r="B19" i="1"/>
  <c r="A19" i="1"/>
  <c r="V18" i="1"/>
  <c r="U18" i="1"/>
  <c r="T18" i="1"/>
  <c r="R18" i="1"/>
  <c r="Q18" i="1"/>
  <c r="P18" i="1"/>
  <c r="O18" i="1"/>
  <c r="N18" i="1"/>
  <c r="L18" i="1"/>
  <c r="K18" i="1"/>
  <c r="M18" i="1" s="1"/>
  <c r="J18" i="1"/>
  <c r="I18" i="1"/>
  <c r="H18" i="1"/>
  <c r="G18" i="1"/>
  <c r="B18" i="1"/>
  <c r="A18" i="1"/>
  <c r="V17" i="1"/>
  <c r="U17" i="1"/>
  <c r="T17" i="1"/>
  <c r="R17" i="1"/>
  <c r="Q17" i="1"/>
  <c r="P17" i="1"/>
  <c r="O17" i="1"/>
  <c r="N17" i="1"/>
  <c r="L17" i="1"/>
  <c r="K17" i="1"/>
  <c r="J17" i="1"/>
  <c r="M17" i="1" s="1"/>
  <c r="I17" i="1"/>
  <c r="H17" i="1"/>
  <c r="G17" i="1"/>
  <c r="B17" i="1"/>
  <c r="A17" i="1"/>
  <c r="V16" i="1"/>
  <c r="U16" i="1"/>
  <c r="T16" i="1"/>
  <c r="R16" i="1"/>
  <c r="Q16" i="1"/>
  <c r="P16" i="1"/>
  <c r="O16" i="1"/>
  <c r="N16" i="1"/>
  <c r="L16" i="1"/>
  <c r="K16" i="1"/>
  <c r="J16" i="1"/>
  <c r="M16" i="1" s="1"/>
  <c r="I16" i="1"/>
  <c r="H16" i="1"/>
  <c r="G16" i="1"/>
  <c r="B16" i="1"/>
  <c r="A16" i="1"/>
  <c r="V15" i="1"/>
  <c r="U15" i="1"/>
  <c r="T15" i="1"/>
  <c r="R15" i="1"/>
  <c r="Q15" i="1"/>
  <c r="P15" i="1"/>
  <c r="O15" i="1"/>
  <c r="N15" i="1"/>
  <c r="L15" i="1"/>
  <c r="K15" i="1"/>
  <c r="M15" i="1" s="1"/>
  <c r="J15" i="1"/>
  <c r="I15" i="1"/>
  <c r="H15" i="1"/>
  <c r="G15" i="1"/>
  <c r="B15" i="1"/>
  <c r="A15" i="1"/>
  <c r="V14" i="1"/>
  <c r="U14" i="1"/>
  <c r="T14" i="1"/>
  <c r="R14" i="1"/>
  <c r="Q14" i="1"/>
  <c r="P14" i="1"/>
  <c r="O14" i="1"/>
  <c r="N14" i="1"/>
  <c r="L14" i="1"/>
  <c r="K14" i="1"/>
  <c r="J14" i="1"/>
  <c r="M14" i="1" s="1"/>
  <c r="I14" i="1"/>
  <c r="H14" i="1"/>
  <c r="G14" i="1"/>
  <c r="B14" i="1"/>
  <c r="A14" i="1"/>
  <c r="V13" i="1"/>
  <c r="U13" i="1"/>
  <c r="T13" i="1"/>
  <c r="R13" i="1"/>
  <c r="Q13" i="1"/>
  <c r="P13" i="1"/>
  <c r="O13" i="1"/>
  <c r="N13" i="1"/>
  <c r="M13" i="1"/>
  <c r="L13" i="1"/>
  <c r="K13" i="1"/>
  <c r="J13" i="1"/>
  <c r="I13" i="1"/>
  <c r="H13" i="1"/>
  <c r="G13" i="1"/>
  <c r="B13" i="1"/>
  <c r="A13" i="1"/>
  <c r="V12" i="1"/>
  <c r="U12" i="1"/>
  <c r="T12" i="1"/>
  <c r="R12" i="1"/>
  <c r="Q12" i="1"/>
  <c r="P12" i="1"/>
  <c r="O12" i="1"/>
  <c r="N12" i="1"/>
  <c r="L12" i="1"/>
  <c r="K12" i="1"/>
  <c r="J12" i="1"/>
  <c r="M12" i="1" s="1"/>
  <c r="I12" i="1"/>
  <c r="H12" i="1"/>
  <c r="G12" i="1"/>
  <c r="B12" i="1"/>
  <c r="A12" i="1"/>
  <c r="V11" i="1"/>
  <c r="U11" i="1"/>
  <c r="T11" i="1"/>
  <c r="R11" i="1"/>
  <c r="Q11" i="1"/>
  <c r="P11" i="1"/>
  <c r="O11" i="1"/>
  <c r="N11" i="1"/>
  <c r="L11" i="1"/>
  <c r="K11" i="1"/>
  <c r="J11" i="1"/>
  <c r="M11" i="1" s="1"/>
  <c r="I11" i="1"/>
  <c r="H11" i="1"/>
  <c r="G11" i="1"/>
  <c r="B11" i="1"/>
  <c r="A11" i="1"/>
  <c r="V10" i="1"/>
  <c r="U10" i="1"/>
  <c r="T10" i="1"/>
  <c r="R10" i="1"/>
  <c r="Q10" i="1"/>
  <c r="P10" i="1"/>
  <c r="O10" i="1"/>
  <c r="N10" i="1"/>
  <c r="L10" i="1"/>
  <c r="K10" i="1"/>
  <c r="J10" i="1"/>
  <c r="M10" i="1" s="1"/>
  <c r="I10" i="1"/>
  <c r="H10" i="1"/>
  <c r="G10" i="1"/>
  <c r="B10" i="1"/>
  <c r="A10" i="1"/>
  <c r="V9" i="1"/>
  <c r="U9" i="1"/>
  <c r="T9" i="1"/>
  <c r="R9" i="1"/>
  <c r="Q9" i="1"/>
  <c r="P9" i="1"/>
  <c r="O9" i="1"/>
  <c r="N9" i="1"/>
  <c r="L9" i="1"/>
  <c r="K9" i="1"/>
  <c r="J9" i="1"/>
  <c r="M9" i="1" s="1"/>
  <c r="I9" i="1"/>
  <c r="H9" i="1"/>
  <c r="G9" i="1"/>
  <c r="B9" i="1"/>
  <c r="A9" i="1"/>
  <c r="V8" i="1"/>
  <c r="U8" i="1"/>
  <c r="T8" i="1"/>
  <c r="R8" i="1"/>
  <c r="Q8" i="1"/>
  <c r="P8" i="1"/>
  <c r="O8" i="1"/>
  <c r="N8" i="1"/>
  <c r="M8" i="1"/>
  <c r="L8" i="1"/>
  <c r="K8" i="1"/>
  <c r="J8" i="1"/>
  <c r="I8" i="1"/>
  <c r="H8" i="1"/>
  <c r="G8" i="1"/>
  <c r="B8" i="1"/>
  <c r="A8" i="1"/>
  <c r="T60" i="1" l="1"/>
</calcChain>
</file>

<file path=xl/sharedStrings.xml><?xml version="1.0" encoding="utf-8"?>
<sst xmlns="http://schemas.openxmlformats.org/spreadsheetml/2006/main" count="264" uniqueCount="151">
  <si>
    <t>MAPA DEMONSTRATIVO DE OBRAS E SERVIÇOS DE ENGENHARIA</t>
  </si>
  <si>
    <t>UNIDADE: 5010</t>
  </si>
  <si>
    <t>UNIDADE ORÇAMENTÁRIA: AUTARQUIA DE MANUTENÇÃO E LIMPEZA URBANA – EMLURB</t>
  </si>
  <si>
    <t>EXERCÍCIO: 2024</t>
  </si>
  <si>
    <t>GABRIELA BUARQUE ASSUNÇÃO DE CARVALHO    –Diretora Presidente</t>
  </si>
  <si>
    <t>PERÍODO REFERENCIAL: ABRIL A JUNHO</t>
  </si>
  <si>
    <t>Responsável pela Unidade</t>
  </si>
  <si>
    <t>MODALIDADE / Nº LICITAÇÃO</t>
  </si>
  <si>
    <t>IDENTIFICAÇÃO DA OBRA, SERVIÇO OU AQUISIÇÃO</t>
  </si>
  <si>
    <t>CONVÊNIO</t>
  </si>
  <si>
    <t>CONTRATADO</t>
  </si>
  <si>
    <t>CONTRATO</t>
  </si>
  <si>
    <t>ADITIVO</t>
  </si>
  <si>
    <t>EXECUÇÃO</t>
  </si>
  <si>
    <t>SITUAÇÃO</t>
  </si>
  <si>
    <t>Nº/Ano</t>
  </si>
  <si>
    <t>CONCEDENTE</t>
  </si>
  <si>
    <t>REPASSE
(R$)</t>
  </si>
  <si>
    <t>CONTRAPARTIDA (R$)</t>
  </si>
  <si>
    <t>CNPJ/CPF</t>
  </si>
  <si>
    <t>RAZÃO SOCIAL</t>
  </si>
  <si>
    <t>DATA INÍCIO</t>
  </si>
  <si>
    <t>PRAZO</t>
  </si>
  <si>
    <t>VALOR CONTRATADO (R$)</t>
  </si>
  <si>
    <t>DATA CONCLUSÃO / PARALISAÇÃO</t>
  </si>
  <si>
    <t>PRAZO ADITADO</t>
  </si>
  <si>
    <t>VALOR ADITADO ACUMULADO
(R$)</t>
  </si>
  <si>
    <t>VALOR REAJUSTE</t>
  </si>
  <si>
    <t>NATUREZA DA DESPESA</t>
  </si>
  <si>
    <t>VALOR MEDIDO ACUMULADO
(R$)</t>
  </si>
  <si>
    <t>VALOR PAGO ACUMULADO NO PERÍODO
(R$)</t>
  </si>
  <si>
    <t>VALOR PAGO ACUMULADO NO EXERCÍCIO
(R$)</t>
  </si>
  <si>
    <t>VALOR  PAGO ACUMULADO NA OBRA OU SERVIÇO
(R$)</t>
  </si>
  <si>
    <t>532561/2020</t>
  </si>
  <si>
    <t>FINISA</t>
  </si>
  <si>
    <t>007101/2022, 5636/2023 e 40000494/2024</t>
  </si>
  <si>
    <t xml:space="preserve">BRB, PBL e BB </t>
  </si>
  <si>
    <t>encerrado</t>
  </si>
  <si>
    <t>40.00017-6</t>
  </si>
  <si>
    <t>BANCO DO BRASIL</t>
  </si>
  <si>
    <t xml:space="preserve"> 892570/2019</t>
  </si>
  <si>
    <t>Emenda Parlamentar Federal</t>
  </si>
  <si>
    <t>5636/2023</t>
  </si>
  <si>
    <t xml:space="preserve">PBL </t>
  </si>
  <si>
    <t>884436/2019</t>
  </si>
  <si>
    <t>001/2022</t>
  </si>
  <si>
    <t>SEINFRA-PE</t>
  </si>
  <si>
    <t>andamento</t>
  </si>
  <si>
    <t>CONCORRÊNCIA - PRESENCIAL Licitação: 027/2023</t>
  </si>
  <si>
    <t>RECUPERAÇÃO ESTRUTURAL DO VIADUTO/PONTE JOAQUIM CARDOZO E DA PASSARELA METÁLICA PARA PEDESTRES ANEXA, QUE LIGA O BAIRRO DOS COELHOS AO BAIRRO DE SÃO JOSÉ E JOANA BEZERRA NA CIDADE DO RECIFE</t>
  </si>
  <si>
    <t>08.064.693/0001-98</t>
  </si>
  <si>
    <t>CONCREPOXI ENGENHARIA LTDA</t>
  </si>
  <si>
    <t>6-027/24</t>
  </si>
  <si>
    <t>TOMADA DE PREÇOS Licitação: 014/2023</t>
  </si>
  <si>
    <t>EXECUÇÃO DOS SERVIÇOS DE IMPLANTAÇÃO DE REDE DE DRENAGEM DE ÁGUAS PLUVIAIS E PAVIMENTAÇÃO EM CBUQ, DA RUA ANTONIO LUIS SOARES, NA CIDADE DO RECIFE</t>
  </si>
  <si>
    <t>31.661.468/0001-50</t>
  </si>
  <si>
    <t>CONVERGE SERVICOS DE ENGENHARIA LTDA</t>
  </si>
  <si>
    <t>6-028/24</t>
  </si>
  <si>
    <t>4.4.90.39</t>
  </si>
  <si>
    <t>CONCORRÊNCIA - PRESENCIAL Licitação: 041/2023</t>
  </si>
  <si>
    <t>URBANIZAÇÃO DA COMUNIDADE ROQUE SANTEIRO, LOCALIZADA NO BAIRRO DOS COELHOS - RECIFE/PE</t>
  </si>
  <si>
    <t>11.864.311/0001-15</t>
  </si>
  <si>
    <t>SBC SOCIEDADE BRASILEIRA DE CONSTRUCOES LTDA</t>
  </si>
  <si>
    <t>6-029/24</t>
  </si>
  <si>
    <t>TOMADA DE PREÇOS Licitação: 013/2023</t>
  </si>
  <si>
    <t>CONTRATAÇÃO DE EMPRESA ESPECIALIZADA NO RAMO DE ENGENHARIA PARA EXECUÇÃO DOS SERVIÇOS DE IMPLANTAÇÃO DA REDE DE DRENAGEM DE ÁGUAS PLUVIAIS E PAVIMENTAÇÃO EM PARALELEPÍPEDOS OU INTERTRAVADOS DE CIMENTO, EM VIAS DE ÁREAS URBANIZADAS, NA CIDADE DO RECIFE</t>
  </si>
  <si>
    <t>08.135.535/0001-81</t>
  </si>
  <si>
    <t>CONSTRUTORA FJ LTDA</t>
  </si>
  <si>
    <t>6-031/24</t>
  </si>
  <si>
    <t>cadastrado</t>
  </si>
  <si>
    <t>CONCORRÊNCIA - PRESENCIAL Licitação: 040/2023</t>
  </si>
  <si>
    <t>23.187.835/0001-06</t>
  </si>
  <si>
    <t>SAME CONSTRUTORA LTDA</t>
  </si>
  <si>
    <t>6-032/24</t>
  </si>
  <si>
    <t>CONCORRÊNCIA - PRESENCIAL Licitação: 035/2023</t>
  </si>
  <si>
    <t>CONTRATAÇÃO DE EMPRESA NO RAMO DE ENGENHARIA PARA EXECUÇAO DE SERVIÇOS DE IMPLANTAÇÃO DA REDE DE DRENAGEM DE ÁGUAS PLUVIAIS E PAVIMENTAÇAO EM CBUQ DE QUATRO VIAS, EM ÁREAS URBANIZADAS, NA CIDADE DO RECIFE</t>
  </si>
  <si>
    <t>12.229.586/0001-40</t>
  </si>
  <si>
    <t>PTG SERVICOS CONSTRUCOES E LOCACOES LTDA EPP</t>
  </si>
  <si>
    <t>6-033/24</t>
  </si>
  <si>
    <t>CONCORRÊNCIA - PRESENCIAL Licitação: 038/2023</t>
  </si>
  <si>
    <t>EXECUÇÃO DOS SERVIÇOS DE IMPLANTAÇÃO DA REDE DE DRENAGEM DE ÁGUAS PLUVIAIS E PAVIMENTAÇÃO EM CBUQ, DE TRÊS VIAS, EM ÁREAS URBANIZADAS NA CIDADE DO RECIFE/PE</t>
  </si>
  <si>
    <t>6-034/24</t>
  </si>
  <si>
    <t>CONCORRÊNCIA - PRESENCIAL Licitação: 032/2023</t>
  </si>
  <si>
    <t>FORNECIMENTO E INSTALAÇÃO DE LUMINÁRIAS COM TECNOLOGIA LED E REDE ELETRICA, PARA ILUMINAÇÃO PEDONAL DO POLÍGONO VÁRIO DA COHAB</t>
  </si>
  <si>
    <t>01.346.561/0001-00</t>
  </si>
  <si>
    <t>VASCONCELOS E SANTOS LTDA</t>
  </si>
  <si>
    <t>6-035/24</t>
  </si>
  <si>
    <t>em elaboração</t>
  </si>
  <si>
    <t>TOMADA DE PREÇOS Licitação: 015/2023</t>
  </si>
  <si>
    <t>CONSTRUÇÃO E RECUPERAÇÃO DOS MUROS DE ARRIMO, LOCALIZADOS NA RUA ANDRÉ DE ALBUQUERQUE NO BAIRRO DO BARRO, PRAÇA MARIO LOPES NO BAIRRO DO ALTO JOSÉ DO PINHO E RUA VEREADOR PETRUS CÂMARA NO BAIRRO DO SÍTIO DOS PINTOS, RECIFE/PE</t>
  </si>
  <si>
    <t>10.811.370/0001-62</t>
  </si>
  <si>
    <t>GUERRA CONSTRUCOES LTDA</t>
  </si>
  <si>
    <t>6-036/24</t>
  </si>
  <si>
    <t>CONCORRÊNCIA - PRESENCIAL Licitação: 033/2023</t>
  </si>
  <si>
    <t>FORNECIMENTO E INSTALAÇÃO DE LUMINÁRIAS COM TECNOLOGIA LED E REDE ELÉTRICA, PARA ILUMINAÇÃO PEDONAL DO POLIGONO VIÁRIO DA ZONA OESTE E SUDOESTE DO MUNICIPIO DO RECIFE</t>
  </si>
  <si>
    <t>6-037/24</t>
  </si>
  <si>
    <t>CONCORRÊNCIA - PRESENCIAL Licitação: 036/2023</t>
  </si>
  <si>
    <t>CONTRATAÇÃO DE EMPRESA DE ENGENHARIA ESPECIALIZADA EM ILUMINAÇÃO PÚBLICA, PARA FORNECIMENTO E INSTALAÇÃO DE LUMINÁRIAS COM TECNOLOGIA LED E REDE ELÉTRICA, PARA ILUMINAÇÃO PEDONAL DO POLÍGONO VIÁRIO DA AVENIDA CAXANGÁ</t>
  </si>
  <si>
    <t>03.834.750/0001-57</t>
  </si>
  <si>
    <t>EIP SERVICOS DE ILUMINACAO LTDA</t>
  </si>
  <si>
    <t>6-039/24</t>
  </si>
  <si>
    <t>PREGÃO ELETRÔNICO: 013/2023</t>
  </si>
  <si>
    <t>CONTRATAÇÃO DE EMPRESA ESPECIALIZADA PARA EXECUÇÃO DE SERVIÇOS DE IMPLANTAÇÃO, MANUTENÇÃO E CONSERVAÇÃO DE PAISAGISMO DE PARQUES, PRAÇAS E ÁREAS VERDES NA CIDADE DO RECIFE. 15.000159/2024-41</t>
  </si>
  <si>
    <t>08.963.533/0001-80</t>
  </si>
  <si>
    <t>FAR COMERCIO E SERVIÇOS PAISAGISTICOS LTDA</t>
  </si>
  <si>
    <t>6-040/24</t>
  </si>
  <si>
    <t>3.3.90.39</t>
  </si>
  <si>
    <t>TOMADA DE PREÇOS Licitação: 008/2023</t>
  </si>
  <si>
    <t>EXECUÇÃO DE OBRAS DE REQUALIFICAÇÃO DO SISTEMA DE DRENAGEM PLUVIAL E PAVIMENTAÇÃO DA RUA PARÚ COM REVESTIMENTO DE CBUQ, LOCALIZADA NO BAIRRO DE BRASÍLIA TEIMOSA, NA CIDADE DO RECIFE/PE</t>
  </si>
  <si>
    <t>34.426.624/0001-97</t>
  </si>
  <si>
    <t>J G GUERRA E SILVA ENGENHARIA LTDA</t>
  </si>
  <si>
    <t>6-041/24</t>
  </si>
  <si>
    <t>PREGÃO ELETRÔNICO: 034/2023</t>
  </si>
  <si>
    <t>CONTRATAÇÃO DE SERVIÇOS ESPECIALIZADOS DE LEVANTAMENTOS TOPOGRÁFICOS PLANOS E ALTIMÉTRICOS DE CAMPO A SEREM ELABORADOS NA CIDADE DO RECIFE. 15.003759/2024-61</t>
  </si>
  <si>
    <t>27.876.591/0001-11</t>
  </si>
  <si>
    <t>ESTACAO TOPOGRAFIA E PROJETOS LTDA</t>
  </si>
  <si>
    <t>6-042/24</t>
  </si>
  <si>
    <t>TOMADA DE PREÇOS Licitação: 019/2023</t>
  </si>
  <si>
    <t>FORNECIMENTO E INSTALAÇÃO DE LUMINÁRIAS COM TECNOLOGIA LED E REDE ELÉTRICA, PARA ILUMINAÇÃO DA PRAÇA DE CASA FORTE</t>
  </si>
  <si>
    <t>17.594.075/0001-40</t>
  </si>
  <si>
    <t>UNIENERGY INSTALACAO E MUNUNTENCAO ELETRICA LTDA</t>
  </si>
  <si>
    <t>6-043/24</t>
  </si>
  <si>
    <t>CONCORRÊNCIA - PRESENCIAL Licitação: 043/2023</t>
  </si>
  <si>
    <t>FORNECIMENTO E INSTALAÇÃO DE LUMINÁRIAS COM TECNOLOGIA LED E REDE ELÉTRICA, PARA ILUMINAÇÃO PÚBLICA E CÊNICA DO SÍTIO DA TRINDADE, NO BAIRRO DE CASA AMARELA</t>
  </si>
  <si>
    <t>32.185.141/0001-12</t>
  </si>
  <si>
    <t>CASTRO &amp; ROCHA LTDA</t>
  </si>
  <si>
    <t>6-044/24</t>
  </si>
  <si>
    <t>PREGÃO ELETRÔNICO: 036/2023</t>
  </si>
  <si>
    <t>FORNCECIMENTO, INSTALAÇÃO E MANUTENÇÃO DE GRADIL VISANDO ATENDER ÀS DEMANDAS DE MANUTENÇÃO DE PARQUES, PRAÇAS E ÁREAS VERDES NA CIDADE DO RECIFE. 15.003979/2024-94</t>
  </si>
  <si>
    <t>12.721.248/0001-20</t>
  </si>
  <si>
    <t>ENGETELA COMERCIO E SERVIÇOS LTDA</t>
  </si>
  <si>
    <t>6-045/24</t>
  </si>
  <si>
    <t>CONCORRÊNCIA - PRESENCIAL Licitação: 039/2023</t>
  </si>
  <si>
    <t>CONTRATAÇÃO DE EMPRESA ESPECIALIZADA DE ENGENHARIA PARA EXECUÇÃO DE OBRAS DE IMPLANTAÇÃO DE DRENAGEM PLUVIAL E PAVIMENTAÇÃO DE RUAS, DIVIDIDA EM DOIS LOTES, LOTE 1: REVESTIMENTO EM CBUQ E LOTE 2: REVESTIMENTO EM PARALELEPÍPEDO E INTERTRAVADO, NA CIDADE DO RECIFE PE. LOTE 1</t>
  </si>
  <si>
    <t>38.014.634/0001-76</t>
  </si>
  <si>
    <t>FCK ENGENHARIA E LOCAÇOES DE MAQUINAS LTDA</t>
  </si>
  <si>
    <t>6-046/24</t>
  </si>
  <si>
    <t>CONTRATAÇÃO DE EMPRESA ESPECIALIZADA DE ENGENHARIA PARA EXECUÇÃO DE OBRAS DE IMPLANTAÇÃO DE DRENAGEM PLUVIAL E PAVIMENTAÇÃO DE RUAS, DIVIDIDA EM DOIS LOTES, LOTE 1: REVESTIMENTO EM CBUQ E LOTE 2: REVESTIMENTO EM PARALELEPÍPEDO E INTERTRAVADO, NA CIDADE DO RECIFE PE. LOTE 2</t>
  </si>
  <si>
    <t>42.653.248/0001-00</t>
  </si>
  <si>
    <t>CONSTRUTORA FONSECA CAMPOS LTDA</t>
  </si>
  <si>
    <t>6-047/24</t>
  </si>
  <si>
    <t>CONCORRÊNCIA - ELETRÔNICA Licitação: 004/2024</t>
  </si>
  <si>
    <t>IMPLANTAÇÃO DE DRENAGEM PLUVIAL E PAVIMENTAÇÃO DE DIVERSAS RUAS EM LOTE ÚNICO COM REVESTIMENTO EM PARALELEPÍPEDO E INTERTRAVADO, NA CIDADE DO RECIFE-PE. 15.003388/2024-17</t>
  </si>
  <si>
    <t>07.654.042/0001-95</t>
  </si>
  <si>
    <t>ALTA SERVIÇOS DE ENGENHARIA LTDA</t>
  </si>
  <si>
    <t>6-050/24</t>
  </si>
  <si>
    <t>CONCORRÊNCIA - ELETRÔNICA Licitação: 003/2024</t>
  </si>
  <si>
    <t>CONTRATAÇÃO DE EMPRESA ESPECIALIZADA DE ENGENHARIA PARA IMPLANTAÇÃO DA PAVIMENTAÇÃO DA RUA BERNARDINO ALVES MAIA, RECIFE-PE.(15.002821/2024-05)</t>
  </si>
  <si>
    <t>10.893.105/0001-70</t>
  </si>
  <si>
    <t>AGILIS CONSTRUTORA LTDA</t>
  </si>
  <si>
    <t>6-051/24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</si>
</sst>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0.00\ ;\-#,##0.00\ ;&quot; -&quot;#\ ;@\ "/>
    <numFmt numFmtId="165" formatCode="dd/mm/yy;@"/>
    <numFmt numFmtId="166" formatCode="_-* #,##0_-;\-* #,##0_-;_-* &quot;-&quot;??_-;_-@_-"/>
  </numFmts>
  <fonts count="5" x14ac:knownFonts="1">
    <font>
      <sz val="11"/>
      <color theme="1"/>
      <name val="Aptos Narrow"/>
      <family val="2"/>
      <scheme val="minor"/>
    </font>
    <font>
      <sz val="11"/>
      <color theme="1"/>
      <name val="Aptos Narrow"/>
      <family val="2"/>
      <scheme val="minor"/>
    </font>
    <font>
      <b/>
      <sz val="8"/>
      <name val="Aptos Narrow"/>
      <family val="2"/>
      <scheme val="minor"/>
    </font>
    <font>
      <sz val="8"/>
      <name val="Aptos Narrow"/>
      <family val="2"/>
      <scheme val="minor"/>
    </font>
    <font>
      <sz val="11"/>
      <name val="Aptos Narrow"/>
      <family val="2"/>
      <scheme val="minor"/>
    </font>
  </fonts>
  <fills count="3">
    <fill>
      <patternFill patternType="none"/>
    </fill>
    <fill>
      <patternFill patternType="gray125"/>
    </fill>
    <fill>
      <patternFill patternType="solid">
        <fgColor rgb="FFFFFFFF"/>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xf numFmtId="43" fontId="1" fillId="0" borderId="0" applyFont="0" applyFill="0" applyBorder="0" applyAlignment="0" applyProtection="0"/>
  </cellStyleXfs>
  <cellXfs count="69">
    <xf numFmtId="0" fontId="0" fillId="0" borderId="0" xfId="0"/>
    <xf numFmtId="49" fontId="2" fillId="0" borderId="0" xfId="0" applyNumberFormat="1" applyFont="1" applyAlignment="1">
      <alignment horizontal="left" vertical="center" wrapText="1"/>
    </xf>
    <xf numFmtId="49" fontId="2" fillId="0" borderId="0" xfId="0" applyNumberFormat="1" applyFont="1" applyAlignment="1">
      <alignment vertical="center" wrapText="1"/>
    </xf>
    <xf numFmtId="0" fontId="3" fillId="0" borderId="0" xfId="0" applyFont="1" applyAlignment="1">
      <alignment vertical="center" wrapText="1"/>
    </xf>
    <xf numFmtId="49" fontId="2" fillId="0" borderId="0" xfId="0" applyNumberFormat="1" applyFont="1" applyAlignment="1">
      <alignment horizontal="center" vertical="center" wrapText="1"/>
    </xf>
    <xf numFmtId="49" fontId="2" fillId="0" borderId="0" xfId="0" applyNumberFormat="1" applyFont="1" applyAlignment="1">
      <alignment horizontal="left" vertical="center" wrapText="1"/>
    </xf>
    <xf numFmtId="164" fontId="3" fillId="0" borderId="0" xfId="1" applyNumberFormat="1" applyFont="1" applyFill="1" applyAlignment="1">
      <alignment horizontal="center" vertical="center" wrapText="1"/>
    </xf>
    <xf numFmtId="164" fontId="3" fillId="0" borderId="0" xfId="1" applyNumberFormat="1" applyFont="1" applyFill="1" applyBorder="1" applyAlignment="1">
      <alignment vertical="center" wrapText="1"/>
    </xf>
    <xf numFmtId="49" fontId="3" fillId="0" borderId="0" xfId="0" applyNumberFormat="1" applyFont="1" applyAlignment="1">
      <alignment horizontal="center" vertical="center" wrapText="1"/>
    </xf>
    <xf numFmtId="0" fontId="3" fillId="0" borderId="0" xfId="0" applyFont="1" applyAlignment="1">
      <alignment horizontal="center" vertical="center" wrapText="1"/>
    </xf>
    <xf numFmtId="165" fontId="3" fillId="0" borderId="0" xfId="0" applyNumberFormat="1" applyFont="1" applyAlignment="1" applyProtection="1">
      <alignment horizontal="center" vertical="center" wrapText="1"/>
      <protection locked="0"/>
    </xf>
    <xf numFmtId="4" fontId="3" fillId="0" borderId="0" xfId="0" applyNumberFormat="1" applyFont="1" applyAlignment="1" applyProtection="1">
      <alignment horizontal="center" vertical="center" wrapText="1"/>
      <protection locked="0"/>
    </xf>
    <xf numFmtId="49" fontId="3" fillId="0" borderId="0" xfId="0" applyNumberFormat="1" applyFont="1" applyAlignment="1" applyProtection="1">
      <alignment horizontal="center" vertical="center" wrapText="1"/>
      <protection locked="0"/>
    </xf>
    <xf numFmtId="49" fontId="3" fillId="0" borderId="0" xfId="0" applyNumberFormat="1" applyFont="1" applyAlignment="1" applyProtection="1">
      <alignment vertical="center" wrapText="1"/>
      <protection locked="0"/>
    </xf>
    <xf numFmtId="164" fontId="3" fillId="0" borderId="0" xfId="1" applyNumberFormat="1" applyFont="1" applyFill="1" applyAlignment="1">
      <alignment horizontal="left" vertical="center" wrapText="1"/>
    </xf>
    <xf numFmtId="4" fontId="3" fillId="0" borderId="0" xfId="0" applyNumberFormat="1" applyFont="1" applyAlignment="1">
      <alignment horizontal="center" vertical="center" wrapText="1"/>
    </xf>
    <xf numFmtId="4" fontId="3" fillId="0" borderId="0" xfId="0" applyNumberFormat="1" applyFont="1" applyAlignment="1">
      <alignment horizontal="center" vertical="center" wrapText="1"/>
    </xf>
    <xf numFmtId="49" fontId="3" fillId="0" borderId="0" xfId="0" applyNumberFormat="1" applyFont="1" applyAlignment="1">
      <alignment vertical="center" wrapText="1"/>
    </xf>
    <xf numFmtId="164" fontId="3" fillId="0" borderId="0" xfId="1" applyNumberFormat="1" applyFont="1" applyFill="1" applyAlignment="1">
      <alignment vertical="center" wrapText="1"/>
    </xf>
    <xf numFmtId="49" fontId="2" fillId="0" borderId="1" xfId="0" applyNumberFormat="1" applyFont="1" applyBorder="1" applyAlignment="1">
      <alignment horizontal="center" vertical="center" wrapText="1"/>
    </xf>
    <xf numFmtId="49" fontId="2" fillId="0" borderId="2" xfId="0" applyNumberFormat="1" applyFont="1" applyBorder="1" applyAlignment="1">
      <alignment vertical="center" wrapText="1"/>
    </xf>
    <xf numFmtId="49" fontId="2" fillId="0" borderId="3" xfId="0" applyNumberFormat="1" applyFont="1" applyBorder="1" applyAlignment="1">
      <alignment vertical="center" wrapText="1"/>
    </xf>
    <xf numFmtId="49" fontId="2" fillId="0" borderId="1" xfId="0" applyNumberFormat="1" applyFont="1" applyBorder="1" applyAlignment="1">
      <alignment horizontal="center" vertical="center" wrapText="1"/>
    </xf>
    <xf numFmtId="49" fontId="2" fillId="0" borderId="4" xfId="0" applyNumberFormat="1" applyFont="1" applyBorder="1" applyAlignment="1">
      <alignment horizontal="center" vertical="center" wrapText="1"/>
    </xf>
    <xf numFmtId="164" fontId="2" fillId="0" borderId="0" xfId="1" applyNumberFormat="1" applyFont="1" applyFill="1" applyAlignment="1">
      <alignment vertical="center" wrapText="1"/>
    </xf>
    <xf numFmtId="0" fontId="2" fillId="0" borderId="0" xfId="0" applyFont="1" applyAlignment="1">
      <alignment vertical="center" wrapText="1"/>
    </xf>
    <xf numFmtId="164" fontId="2" fillId="0" borderId="1" xfId="1" applyNumberFormat="1" applyFont="1" applyFill="1" applyBorder="1" applyAlignment="1">
      <alignment horizontal="center" vertical="center" wrapText="1"/>
    </xf>
    <xf numFmtId="49" fontId="2" fillId="0" borderId="1" xfId="0" applyNumberFormat="1" applyFont="1" applyBorder="1" applyAlignment="1">
      <alignment horizontal="left" vertical="center" wrapText="1"/>
    </xf>
    <xf numFmtId="165" fontId="2" fillId="0" borderId="1" xfId="0" applyNumberFormat="1" applyFont="1" applyBorder="1" applyAlignment="1">
      <alignment horizontal="center" vertical="center" wrapText="1"/>
    </xf>
    <xf numFmtId="166" fontId="2" fillId="0" borderId="1" xfId="1" applyNumberFormat="1" applyFont="1" applyFill="1" applyBorder="1" applyAlignment="1">
      <alignment horizontal="center" vertical="center" wrapText="1"/>
    </xf>
    <xf numFmtId="166" fontId="2" fillId="0" borderId="1" xfId="1" applyNumberFormat="1" applyFont="1" applyFill="1" applyBorder="1" applyAlignment="1">
      <alignment vertical="center" wrapText="1"/>
    </xf>
    <xf numFmtId="164" fontId="2" fillId="0" borderId="1" xfId="1" applyNumberFormat="1" applyFont="1" applyFill="1" applyBorder="1" applyAlignment="1">
      <alignment horizontal="right" vertical="center" wrapText="1"/>
    </xf>
    <xf numFmtId="49" fontId="2" fillId="0" borderId="5" xfId="0" applyNumberFormat="1" applyFont="1" applyBorder="1" applyAlignment="1">
      <alignment horizontal="center" vertical="center" wrapText="1"/>
    </xf>
    <xf numFmtId="164" fontId="2" fillId="0" borderId="0" xfId="1" applyNumberFormat="1" applyFont="1" applyFill="1" applyAlignment="1">
      <alignment horizontal="center" vertical="center" wrapText="1"/>
    </xf>
    <xf numFmtId="0" fontId="2" fillId="0" borderId="0" xfId="0" applyFont="1" applyAlignment="1">
      <alignment horizontal="center"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164" fontId="3" fillId="0" borderId="1" xfId="1" applyNumberFormat="1" applyFont="1" applyFill="1" applyBorder="1" applyAlignment="1">
      <alignment horizontal="center" vertical="center" wrapText="1"/>
    </xf>
    <xf numFmtId="164" fontId="3" fillId="0" borderId="1" xfId="1" applyNumberFormat="1" applyFont="1" applyFill="1" applyBorder="1" applyAlignment="1">
      <alignment horizontal="left" vertical="center" wrapText="1"/>
    </xf>
    <xf numFmtId="165" fontId="3" fillId="0" borderId="1" xfId="1" applyNumberFormat="1" applyFont="1" applyFill="1" applyBorder="1" applyAlignment="1">
      <alignment horizontal="center" vertical="center" wrapText="1"/>
    </xf>
    <xf numFmtId="166" fontId="3" fillId="0" borderId="1" xfId="1" applyNumberFormat="1" applyFont="1" applyFill="1" applyBorder="1" applyAlignment="1">
      <alignment horizontal="center" vertical="center" wrapText="1"/>
    </xf>
    <xf numFmtId="166" fontId="3" fillId="0" borderId="1" xfId="1" applyNumberFormat="1" applyFont="1" applyFill="1" applyBorder="1" applyAlignment="1">
      <alignment vertical="center" wrapText="1"/>
    </xf>
    <xf numFmtId="164" fontId="3" fillId="0" borderId="1" xfId="1" applyNumberFormat="1" applyFont="1" applyFill="1" applyBorder="1" applyAlignment="1">
      <alignment horizontal="right" vertical="center" wrapText="1"/>
    </xf>
    <xf numFmtId="0" fontId="4" fillId="0" borderId="0" xfId="0" applyFont="1"/>
    <xf numFmtId="4" fontId="3" fillId="0" borderId="1" xfId="0" applyNumberFormat="1" applyFont="1" applyBorder="1" applyAlignment="1">
      <alignment horizontal="right" vertical="center" wrapText="1"/>
    </xf>
    <xf numFmtId="0" fontId="3" fillId="0" borderId="1" xfId="0" applyFont="1" applyBorder="1" applyAlignment="1">
      <alignment horizontal="left" vertical="center" wrapText="1"/>
    </xf>
    <xf numFmtId="165" fontId="3" fillId="0" borderId="1" xfId="0" applyNumberFormat="1" applyFont="1" applyBorder="1" applyAlignment="1">
      <alignment horizontal="center" vertical="center" wrapText="1"/>
    </xf>
    <xf numFmtId="4" fontId="3" fillId="0" borderId="1" xfId="0" applyNumberFormat="1" applyFont="1" applyBorder="1" applyAlignment="1">
      <alignment horizontal="center" vertical="center" wrapText="1"/>
    </xf>
    <xf numFmtId="0" fontId="4" fillId="0" borderId="1" xfId="0" applyFont="1" applyBorder="1"/>
    <xf numFmtId="0" fontId="4" fillId="0" borderId="1" xfId="0" applyFont="1" applyBorder="1" applyAlignment="1">
      <alignment horizontal="right"/>
    </xf>
    <xf numFmtId="0" fontId="3" fillId="0" borderId="4" xfId="0" applyFont="1" applyBorder="1" applyAlignment="1">
      <alignment vertical="center" wrapText="1"/>
    </xf>
    <xf numFmtId="0" fontId="3" fillId="0" borderId="4" xfId="0" applyFont="1" applyBorder="1" applyAlignment="1">
      <alignment horizontal="center" vertical="center" wrapText="1"/>
    </xf>
    <xf numFmtId="164" fontId="3" fillId="0" borderId="4" xfId="1" applyNumberFormat="1" applyFont="1" applyFill="1" applyBorder="1" applyAlignment="1">
      <alignment horizontal="center" vertical="center" wrapText="1"/>
    </xf>
    <xf numFmtId="0" fontId="3" fillId="0" borderId="4" xfId="0" applyFont="1" applyBorder="1" applyAlignment="1">
      <alignment horizontal="left" vertical="center" wrapText="1"/>
    </xf>
    <xf numFmtId="165" fontId="3" fillId="0" borderId="4" xfId="0" applyNumberFormat="1" applyFont="1" applyBorder="1" applyAlignment="1">
      <alignment horizontal="center" vertical="center" wrapText="1"/>
    </xf>
    <xf numFmtId="166" fontId="3" fillId="0" borderId="4" xfId="1" applyNumberFormat="1" applyFont="1" applyFill="1" applyBorder="1" applyAlignment="1">
      <alignment horizontal="center" vertical="center" wrapText="1"/>
    </xf>
    <xf numFmtId="4" fontId="3" fillId="0" borderId="4" xfId="0" applyNumberFormat="1" applyFont="1" applyBorder="1" applyAlignment="1">
      <alignment horizontal="center" vertical="center" wrapText="1"/>
    </xf>
    <xf numFmtId="165" fontId="3" fillId="0" borderId="4" xfId="1" applyNumberFormat="1" applyFont="1" applyFill="1" applyBorder="1" applyAlignment="1">
      <alignment horizontal="center" vertical="center" wrapText="1"/>
    </xf>
    <xf numFmtId="0" fontId="4" fillId="0" borderId="4" xfId="0" applyFont="1" applyBorder="1"/>
    <xf numFmtId="0" fontId="4" fillId="0" borderId="4" xfId="0" applyFont="1" applyBorder="1" applyAlignment="1">
      <alignment horizontal="right"/>
    </xf>
    <xf numFmtId="165" fontId="4" fillId="0" borderId="1" xfId="0" applyNumberFormat="1" applyFont="1" applyBorder="1"/>
    <xf numFmtId="0" fontId="3" fillId="2" borderId="1" xfId="0" applyFont="1" applyFill="1" applyBorder="1" applyAlignment="1">
      <alignment horizontal="center" vertical="center" wrapText="1"/>
    </xf>
    <xf numFmtId="0" fontId="3" fillId="2" borderId="1" xfId="0" applyFont="1" applyFill="1" applyBorder="1" applyAlignment="1">
      <alignment vertical="center" wrapText="1"/>
    </xf>
    <xf numFmtId="0" fontId="4" fillId="0" borderId="0" xfId="0" applyFont="1" applyAlignment="1">
      <alignment horizontal="center"/>
    </xf>
    <xf numFmtId="0" fontId="4" fillId="0" borderId="0" xfId="0" applyFont="1" applyAlignment="1">
      <alignment horizontal="left"/>
    </xf>
    <xf numFmtId="165" fontId="4" fillId="0" borderId="0" xfId="0" applyNumberFormat="1" applyFont="1"/>
    <xf numFmtId="166" fontId="4" fillId="0" borderId="0" xfId="1" applyNumberFormat="1" applyFont="1" applyFill="1" applyAlignment="1">
      <alignment horizontal="center"/>
    </xf>
    <xf numFmtId="166" fontId="4" fillId="0" borderId="0" xfId="1" applyNumberFormat="1" applyFont="1" applyFill="1" applyAlignment="1"/>
    <xf numFmtId="0" fontId="4" fillId="0" borderId="0" xfId="0" applyFont="1" applyAlignment="1">
      <alignment horizontal="right"/>
    </xf>
  </cellXfs>
  <cellStyles count="2">
    <cellStyle name="Normal" xfId="0" builtinId="0"/>
    <cellStyle name="Vírgula"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sohde\AppData\Local\Microsoft\Olk\Attachments\ooa-0b56d09e-4548-43a2-9fa0-4ef33913fa44\970f8633e16827e047c6b30c060d6ae3f5e29a19e98c6d9c618636066dffc793\Mapa%20Demonstrativo%20de%20Obras%202%20trimestre%202024%20-%20TCE.xlsx" TargetMode="External"/><Relationship Id="rId1" Type="http://schemas.openxmlformats.org/officeDocument/2006/relationships/externalLinkPath" Target="file:///C:\Users\sohde\AppData\Local\Microsoft\Olk\Attachments\ooa-0b56d09e-4548-43a2-9fa0-4ef33913fa44\970f8633e16827e047c6b30c060d6ae3f5e29a19e98c6d9c618636066dffc793\Mapa%20Demonstrativo%20de%20Obras%202%20trimestre%202024%20-%20TC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1º TRIMESTRE"/>
      <sheetName val="2º TRIMESTRE"/>
      <sheetName val="3º TRIMESTRE"/>
      <sheetName val="4º TRIMESTRE"/>
      <sheetName val="Consolidado"/>
    </sheetNames>
    <sheetDataSet>
      <sheetData sheetId="0">
        <row r="8">
          <cell r="A8" t="str">
            <v>CONCORRÊNCIA Licitação: 023/2022</v>
          </cell>
          <cell r="B8" t="str">
            <v>SERVIÇOS DE MANUTENÇÃO CORRETIVA (OPERAÇÃO TAPA BURACO) EM CONCRETO BETUMINOSO USINADO À QUENTE - CBUQ, EM CONCRETO PRÉ MISTURADO A FRIO - PMF, DO SISTEMA VIÁRIO DA CIDADE DO RECIFE. LOTE I, RPA 01</v>
          </cell>
          <cell r="G8" t="str">
            <v>00.999.591/0001-52</v>
          </cell>
          <cell r="H8" t="str">
            <v xml:space="preserve">AGC CONSTRUTORA E EMPREENDIMENTOS LTDA      </v>
          </cell>
          <cell r="I8" t="str">
            <v>6-001/23</v>
          </cell>
          <cell r="J8">
            <v>44928</v>
          </cell>
          <cell r="K8">
            <v>1125</v>
          </cell>
          <cell r="L8">
            <v>14926062.529999999</v>
          </cell>
          <cell r="N8">
            <v>0</v>
          </cell>
          <cell r="O8">
            <v>25767.3</v>
          </cell>
          <cell r="P8">
            <v>489755.22</v>
          </cell>
          <cell r="Q8" t="str">
            <v>3.3.90.39</v>
          </cell>
          <cell r="R8">
            <v>2657537.12</v>
          </cell>
          <cell r="T8">
            <v>552092.18000000005</v>
          </cell>
          <cell r="U8">
            <v>2657537.04</v>
          </cell>
          <cell r="V8" t="str">
            <v>andamento</v>
          </cell>
        </row>
        <row r="9">
          <cell r="A9" t="str">
            <v>CONCORRÊNCIA / nº 012/2020</v>
          </cell>
          <cell r="B9" t="str">
            <v>CONTRATACAO DOS SERVICOS DE LIMPEZA E MANUTENCAO DO SISTEMA DE MICRODRENAGEM DE AGUAS PLUVIAIS DO MUNICIPIO DO RECIFE RPA 02 E 03</v>
          </cell>
          <cell r="G9" t="str">
            <v>07.693.988/0001-60</v>
          </cell>
          <cell r="H9" t="str">
            <v>F R F ENGENHARIA LTDA</v>
          </cell>
          <cell r="I9" t="str">
            <v>6-002/21</v>
          </cell>
          <cell r="J9">
            <v>44204</v>
          </cell>
          <cell r="K9">
            <v>1125</v>
          </cell>
          <cell r="L9">
            <v>17543900.190000001</v>
          </cell>
          <cell r="N9">
            <v>0</v>
          </cell>
          <cell r="O9">
            <v>4739810.3600000003</v>
          </cell>
          <cell r="P9">
            <v>2825629.11</v>
          </cell>
          <cell r="Q9" t="str">
            <v>3.3.90.39</v>
          </cell>
          <cell r="R9">
            <v>14012678.93</v>
          </cell>
          <cell r="T9">
            <v>0</v>
          </cell>
          <cell r="U9">
            <v>14012678.93</v>
          </cell>
          <cell r="V9" t="str">
            <v>encerrado</v>
          </cell>
        </row>
        <row r="10">
          <cell r="A10" t="str">
            <v>CONCORRÊNCIA / nº 012/2021</v>
          </cell>
          <cell r="B10" t="str">
            <v>CONTRATAÇÃO DE EMPRESA DE ENGENHARIA, ESPECIALIZADA EM ILUMINAÇÃO PÚBLICA, PARA SERVIÇOS DE APOIO TÉCNICO PARA CIDADE DO RECIFE.</v>
          </cell>
          <cell r="G10" t="str">
            <v>03.834.750/0001-57</v>
          </cell>
          <cell r="H10" t="str">
            <v>EIP SERVICOS DE ILUMINACAO LTDA</v>
          </cell>
          <cell r="I10" t="str">
            <v>6-002/22</v>
          </cell>
          <cell r="J10">
            <v>44589</v>
          </cell>
          <cell r="K10">
            <v>760</v>
          </cell>
          <cell r="L10">
            <v>1418802</v>
          </cell>
          <cell r="N10">
            <v>0</v>
          </cell>
          <cell r="O10">
            <v>353919.51</v>
          </cell>
          <cell r="P10">
            <v>159554.79999999999</v>
          </cell>
          <cell r="Q10" t="str">
            <v>3.3.90.39</v>
          </cell>
          <cell r="R10">
            <v>1566273.81</v>
          </cell>
          <cell r="T10">
            <v>0</v>
          </cell>
          <cell r="U10">
            <v>1566273.81</v>
          </cell>
          <cell r="V10" t="str">
            <v>encerrado</v>
          </cell>
        </row>
        <row r="11">
          <cell r="A11" t="str">
            <v>CONCORRÊNCIA Licitação: 023/2022</v>
          </cell>
          <cell r="B11" t="str">
            <v>SERVIÇOS DE MANUTENÇÃO CORRETIVA (OPERAÇÃO TAPA BURACO) EM CONCRETO BETUMINOSO USINADO À QUENTE - CBUQ, EM CONCRETO PRÉ MISTURADO A FRIO - PMF, DO SISTEMA VIÁRIO DA CIDADE DO RECIFE. LOTE II - RPA 02 E 03</v>
          </cell>
          <cell r="G11" t="str">
            <v>00.999.591/0001-52</v>
          </cell>
          <cell r="H11" t="str">
            <v xml:space="preserve">AGC CONSTRUTORA E EMPREENDIMENTOS LTDA      </v>
          </cell>
          <cell r="I11" t="str">
            <v>6-002/23</v>
          </cell>
          <cell r="J11">
            <v>44952</v>
          </cell>
          <cell r="K11">
            <v>1125</v>
          </cell>
          <cell r="L11">
            <v>18344816.460000001</v>
          </cell>
          <cell r="N11">
            <v>0</v>
          </cell>
          <cell r="O11">
            <v>0</v>
          </cell>
          <cell r="P11">
            <v>601981.77</v>
          </cell>
          <cell r="Q11" t="str">
            <v>3.3.90.39</v>
          </cell>
          <cell r="R11">
            <v>4699749.46</v>
          </cell>
          <cell r="T11">
            <v>863617.53</v>
          </cell>
          <cell r="U11">
            <v>4671374.3899999997</v>
          </cell>
          <cell r="V11" t="str">
            <v>andamento</v>
          </cell>
        </row>
        <row r="12">
          <cell r="A12" t="str">
            <v>CONCORRÊNCIA / nº 008/2021</v>
          </cell>
          <cell r="B12" t="str">
            <v>CONTRATAÇÃO DE EMPRESA DE ENGENHARIA, ESPECIALIZADA EM ILUMINAÇÃO PÚBLICA, PARA EXECUÇÃO DA MANUTENÇÃO, PREVENTIVA E CORRETIVA, DO SISTEMA DE ILUMINAÇÃO CÊNICA DA CIDADE DO RECIFE</v>
          </cell>
          <cell r="G12" t="str">
            <v>03.834.750/0001-57</v>
          </cell>
          <cell r="H12" t="str">
            <v>EIP SERVICOS DE ILUMINACAO LTDA</v>
          </cell>
          <cell r="I12" t="str">
            <v>6-003/22</v>
          </cell>
          <cell r="J12">
            <v>44589</v>
          </cell>
          <cell r="K12">
            <v>760</v>
          </cell>
          <cell r="L12">
            <v>3730846.67</v>
          </cell>
          <cell r="N12">
            <v>0</v>
          </cell>
          <cell r="O12">
            <v>750887.05</v>
          </cell>
          <cell r="P12">
            <v>415735.52</v>
          </cell>
          <cell r="Q12" t="str">
            <v>4.4.90.39</v>
          </cell>
          <cell r="R12">
            <v>4479518.3099999996</v>
          </cell>
          <cell r="T12">
            <v>77633.38</v>
          </cell>
          <cell r="U12">
            <v>4479518.3099999996</v>
          </cell>
          <cell r="V12" t="str">
            <v>andamento</v>
          </cell>
        </row>
        <row r="13">
          <cell r="A13" t="str">
            <v>CONCORRÊNCIA Licitação: 023/2022</v>
          </cell>
          <cell r="B13" t="str">
            <v>SERVIÇOS DE MANUTENÇÃO CORRETIVA (OPERAÇÃO TAPA BURACO) EM CONCRETO BETUMINOSO USINADO À QUENTE - CBUQ, EM CONCRETO PRÉ MISTURADO A FRIO - PMF, DO SISTEMA VIÁRIO DA CIDADE DO RECIFE. LOTE III - RPA 04 E 05</v>
          </cell>
          <cell r="G13" t="str">
            <v>00.999.591/0001-52</v>
          </cell>
          <cell r="H13" t="str">
            <v xml:space="preserve">AGC CONSTRUTORA E EMPREENDIMENTOS LTDA      </v>
          </cell>
          <cell r="I13" t="str">
            <v>6-003/23</v>
          </cell>
          <cell r="J13">
            <v>44928</v>
          </cell>
          <cell r="K13">
            <v>1125</v>
          </cell>
          <cell r="L13">
            <v>23425634.329999998</v>
          </cell>
          <cell r="N13">
            <v>0</v>
          </cell>
          <cell r="O13">
            <v>0</v>
          </cell>
          <cell r="P13">
            <v>768686.92</v>
          </cell>
          <cell r="Q13" t="str">
            <v>3.3.90.39</v>
          </cell>
          <cell r="R13">
            <v>6188602.8999999994</v>
          </cell>
          <cell r="T13">
            <v>939778.7699999999</v>
          </cell>
          <cell r="U13">
            <v>6157757.2199999988</v>
          </cell>
          <cell r="V13" t="str">
            <v>andamento</v>
          </cell>
        </row>
        <row r="14">
          <cell r="A14" t="str">
            <v>CONCORRÊNCIA Licitação: 023/2022</v>
          </cell>
          <cell r="B14" t="str">
            <v>SERVIÇOS DE MANUTENÇÃO CORRETIVA (OPERAÇÃO TAPA BURACO) EM CONCRETO BETUMINOSO USINADO À QUENTE - CBUQ, EM CONCRETO PRÉ MISTURADO A FRIO - PMF, DO SISTEMA VIÁRIO DA CIDADE DO RECIFE. LOTE IV - RPA 06</v>
          </cell>
          <cell r="G14" t="str">
            <v>40.882.060/0001-08</v>
          </cell>
          <cell r="H14" t="str">
            <v>LIDERMAC CONSTRUCOES E EQUIPAMENTOS LTDA</v>
          </cell>
          <cell r="I14" t="str">
            <v>6-004/23</v>
          </cell>
          <cell r="J14">
            <v>44952</v>
          </cell>
          <cell r="K14">
            <v>1125</v>
          </cell>
          <cell r="L14">
            <v>20802547.25</v>
          </cell>
          <cell r="N14">
            <v>0</v>
          </cell>
          <cell r="O14">
            <v>0</v>
          </cell>
          <cell r="P14">
            <v>0</v>
          </cell>
          <cell r="Q14" t="str">
            <v>3.3.90.39</v>
          </cell>
          <cell r="R14">
            <v>3525308.08</v>
          </cell>
          <cell r="T14">
            <v>746442.33000000007</v>
          </cell>
          <cell r="U14">
            <v>3525308.08</v>
          </cell>
          <cell r="V14" t="str">
            <v>andamento</v>
          </cell>
        </row>
        <row r="15">
          <cell r="A15" t="str">
            <v>CONCORRÊNCIA Licitação: 022/2022</v>
          </cell>
          <cell r="B15" t="str">
            <v>EXECUÇÃO DE OBRAS DE IMPLANTAÇÃO DE DRENAGEM PLUVIAL E PAVIMENTAÇÃO DE RUAS DA CIDADE DO RECIFE, LOCALIZADAS NOS BAIRROS DE SÍTIO DOS PINTOS, BOA VIAGEM E POÇO DA PANELA.    LOTE I</v>
          </cell>
          <cell r="G15" t="str">
            <v>07.157.925/0001-90</v>
          </cell>
          <cell r="H15" t="str">
            <v>WB CONSTRUTORA LTDA</v>
          </cell>
          <cell r="I15" t="str">
            <v>6-009/23</v>
          </cell>
          <cell r="J15">
            <v>44967</v>
          </cell>
          <cell r="K15">
            <v>300</v>
          </cell>
          <cell r="L15">
            <v>5670580.4299999997</v>
          </cell>
          <cell r="N15">
            <v>180</v>
          </cell>
          <cell r="O15">
            <v>203807.51</v>
          </cell>
          <cell r="P15">
            <v>0</v>
          </cell>
          <cell r="Q15" t="str">
            <v>4.4.90.39</v>
          </cell>
          <cell r="R15">
            <v>3450429.94</v>
          </cell>
          <cell r="T15">
            <v>149607.23000000001</v>
          </cell>
          <cell r="U15">
            <v>3450429.94</v>
          </cell>
          <cell r="V15" t="str">
            <v>andamento</v>
          </cell>
        </row>
        <row r="16">
          <cell r="A16" t="str">
            <v>CONCORRÊNCIA Licitação: 025/2022</v>
          </cell>
          <cell r="B16" t="str">
            <v>EXECUÇÃO DOS SERVIÇOS DE IMPLANTAÇÃO DA REDE DE DRENAGEM DE ÁGUAS PLUVIAIS E PAVIMENTAÇÃO DE VIAS EM DIVERSAS RPA'S DA CIDADE DO RECIFE</v>
          </cell>
          <cell r="G16" t="str">
            <v>03.400.040/0001-19</v>
          </cell>
          <cell r="H16" t="str">
            <v>TOPEC EMPREENDIMENTOS E SERVICOS LTDA</v>
          </cell>
          <cell r="I16" t="str">
            <v>6-011/23</v>
          </cell>
          <cell r="J16">
            <v>44966</v>
          </cell>
          <cell r="K16">
            <v>210</v>
          </cell>
          <cell r="L16">
            <v>7809500.1100000003</v>
          </cell>
          <cell r="N16">
            <v>235</v>
          </cell>
          <cell r="O16">
            <v>1946467.95</v>
          </cell>
          <cell r="P16">
            <v>-26800.04</v>
          </cell>
          <cell r="Q16" t="str">
            <v>4.4.90.39</v>
          </cell>
          <cell r="R16">
            <v>8606007.5499999989</v>
          </cell>
          <cell r="T16">
            <v>520330.93</v>
          </cell>
          <cell r="U16">
            <v>8391537.3200000003</v>
          </cell>
          <cell r="V16" t="str">
            <v>andamento</v>
          </cell>
        </row>
        <row r="17">
          <cell r="A17" t="str">
            <v>Pregão Eletrônico Licitação: 002/2022</v>
          </cell>
          <cell r="B17" t="str">
            <v>CONTRATAÇÃO DE PESSOA S JURÍDICA S ESPECIALIZADA EM ENGENHARIA SANITÁRIA PARA RECEBIMENTO, TRATAMENTO E DISPOSIÇÃO FINAL DE RESÍDUOS DE CONSTRUÇÃO RCC CLASSE A INERTE COLETADOS PELA EMLURB NO MUNICÍPIO DO RECIFE</v>
          </cell>
          <cell r="G17" t="str">
            <v>10.877.732/0001-18</v>
          </cell>
          <cell r="H17" t="str">
            <v>CICLO AMBIENTAL LTDA</v>
          </cell>
          <cell r="I17" t="str">
            <v>6-012/22</v>
          </cell>
          <cell r="J17">
            <v>44635</v>
          </cell>
          <cell r="K17">
            <v>1890</v>
          </cell>
          <cell r="L17">
            <v>28992600</v>
          </cell>
          <cell r="N17">
            <v>0</v>
          </cell>
          <cell r="O17">
            <v>0</v>
          </cell>
          <cell r="P17">
            <v>2496000</v>
          </cell>
          <cell r="Q17" t="str">
            <v>3.3.90.39</v>
          </cell>
          <cell r="R17">
            <v>15706236.460000001</v>
          </cell>
          <cell r="T17">
            <v>2621540.98</v>
          </cell>
          <cell r="U17">
            <v>15706236.460000001</v>
          </cell>
          <cell r="V17" t="str">
            <v>andamento</v>
          </cell>
        </row>
        <row r="18">
          <cell r="A18" t="str">
            <v>TOMADA DE PREÇOS Licitação: 007/2022</v>
          </cell>
          <cell r="B18" t="str">
            <v>CONTRATAÇÃO DE EMPRESA DE ENGENHARIA CONSULTIVA, ESPECIALIZADA EM PROJETO DE ILUMINAÇÃO CÊNICA E ARQUITETURAL, PARA DESENVOLVIMENTO DE ESTUDOS E ELABORAÇÃO DE PROJETOS DE ILUMINAÇÃO DE PRAÇAS, EDIFICAÇÕES E MONUMENTOS HISTÓRICOS DA CIDADE DO RECIFE</v>
          </cell>
          <cell r="G18" t="str">
            <v>13.392.132/0001-58</v>
          </cell>
          <cell r="H18" t="str">
            <v>CRX ENGENHARIA LTDA - EPP</v>
          </cell>
          <cell r="I18" t="str">
            <v>6-013/23</v>
          </cell>
          <cell r="J18">
            <v>44967</v>
          </cell>
          <cell r="K18">
            <v>395</v>
          </cell>
          <cell r="L18">
            <v>899176.09</v>
          </cell>
          <cell r="N18">
            <v>0</v>
          </cell>
          <cell r="O18">
            <v>0</v>
          </cell>
          <cell r="P18">
            <v>0</v>
          </cell>
          <cell r="Q18" t="str">
            <v>3.3.90.39</v>
          </cell>
          <cell r="R18">
            <v>488496.85000000003</v>
          </cell>
          <cell r="T18">
            <v>167495.88999999998</v>
          </cell>
          <cell r="U18">
            <v>488496.85</v>
          </cell>
          <cell r="V18" t="str">
            <v>andamento</v>
          </cell>
        </row>
        <row r="19">
          <cell r="A19" t="str">
            <v>concorrência /nº 001/2021</v>
          </cell>
          <cell r="B19" t="str">
            <v>CONTRATACAO DE EMPRESA DE ENGENHARIA ESPECIALIZADA. PARA A OPERACAO. AUTOMACAO E MANUTENCAO ELETRICA E MECANICA DAS ESTACOES DE BOMBEAMENTO E COMPORTAS DA CIDADE DO RECIFE</v>
          </cell>
          <cell r="G19" t="str">
            <v>41.116.138/0001-38</v>
          </cell>
          <cell r="H19" t="str">
            <v>REAL ENERGY LTDA</v>
          </cell>
          <cell r="I19" t="str">
            <v>6-014/21</v>
          </cell>
          <cell r="J19">
            <v>44347</v>
          </cell>
          <cell r="K19">
            <v>790</v>
          </cell>
          <cell r="L19">
            <v>3652773.14</v>
          </cell>
          <cell r="N19">
            <v>293</v>
          </cell>
          <cell r="O19">
            <v>979736.71</v>
          </cell>
          <cell r="P19">
            <v>418590.06</v>
          </cell>
          <cell r="Q19" t="str">
            <v>3.3.90.39</v>
          </cell>
          <cell r="R19">
            <v>3834340.9699999997</v>
          </cell>
          <cell r="T19">
            <v>135000.91999999998</v>
          </cell>
          <cell r="U19">
            <v>3834340.97</v>
          </cell>
        </row>
        <row r="20">
          <cell r="A20" t="str">
            <v>INEX 002/2023</v>
          </cell>
          <cell r="B20" t="str">
            <v>CONTRATAÇÃO DE EMPRESA PARA PRESTAÇÃO DO SERVIÇO DE LIMPEZA DE CANAL UTILIZANDO-SE DO PROCESSO DE BARRAGEM MÓVEL EM DIVERSOS CANAIS DA CIDADE DO RECIFE</v>
          </cell>
          <cell r="G20" t="str">
            <v>03.366.083/0001-25</v>
          </cell>
          <cell r="H20" t="str">
            <v>HIDROMAX CONSTRUÇOES LTDA</v>
          </cell>
          <cell r="I20" t="str">
            <v>6-015/23</v>
          </cell>
          <cell r="J20">
            <v>44973</v>
          </cell>
          <cell r="K20">
            <v>730</v>
          </cell>
          <cell r="L20">
            <v>4873574.38</v>
          </cell>
          <cell r="N20">
            <v>0</v>
          </cell>
          <cell r="O20">
            <v>0</v>
          </cell>
          <cell r="P20">
            <v>0</v>
          </cell>
          <cell r="Q20" t="str">
            <v>3.3.90.39</v>
          </cell>
          <cell r="R20">
            <v>1800109.34</v>
          </cell>
          <cell r="T20">
            <v>543164.57999999996</v>
          </cell>
          <cell r="U20">
            <v>1800109.3399999999</v>
          </cell>
          <cell r="V20" t="str">
            <v>andamento</v>
          </cell>
        </row>
        <row r="21">
          <cell r="A21" t="str">
            <v>DISP 003/2020</v>
          </cell>
          <cell r="B21" t="str">
            <v>MONITORAMENTO AMBIENTAL DO ATERRO CONTROLADO DA MURIBECA E SERVIÇOS DE CONSULTORIA TECNOLÓGICA PARA TRATAMENTO DE RESÍDUOS SÓLIDOS URBANOS</v>
          </cell>
          <cell r="G21" t="str">
            <v>11.187.606/0001-02</v>
          </cell>
          <cell r="H21" t="str">
            <v xml:space="preserve">ATEPE ASSOCIACAO TECNOLOGICA DE PERNAMBUCO                  </v>
          </cell>
          <cell r="I21" t="str">
            <v>6-018/20</v>
          </cell>
          <cell r="J21">
            <v>44007</v>
          </cell>
          <cell r="K21">
            <v>365</v>
          </cell>
          <cell r="L21">
            <v>251180</v>
          </cell>
          <cell r="N21">
            <v>1097</v>
          </cell>
          <cell r="O21">
            <v>777540</v>
          </cell>
          <cell r="P21">
            <v>0</v>
          </cell>
          <cell r="Q21" t="str">
            <v>3.3.90.39</v>
          </cell>
          <cell r="R21">
            <v>691751.1</v>
          </cell>
          <cell r="T21">
            <v>41310</v>
          </cell>
          <cell r="U21">
            <v>691751.1</v>
          </cell>
          <cell r="V21" t="str">
            <v>andamento</v>
          </cell>
        </row>
        <row r="22">
          <cell r="A22" t="str">
            <v>CONCORRÊNCIA Licitação: 021/2022</v>
          </cell>
          <cell r="B22" t="str">
            <v>EXECUÇÃO DOS SERVIÇOS DE IMPLANTAÇÃO DA REDE DE DRENAGEM COM A UTILIZAÇÃO DE TUBOS DE PEAD, E COBERTURA COM PAVIMENTO RÍGIDO OU FLEXÍVEL - LOTE I</v>
          </cell>
          <cell r="G22" t="str">
            <v>06.204.246/0001-61</v>
          </cell>
          <cell r="H22" t="str">
            <v>ECAM TERRAPLENAGEM E PAVIMENTACAO LTDA</v>
          </cell>
          <cell r="I22" t="str">
            <v>6-018/23</v>
          </cell>
          <cell r="J22">
            <v>45013</v>
          </cell>
          <cell r="K22">
            <v>210</v>
          </cell>
          <cell r="L22">
            <v>6629049.9699999997</v>
          </cell>
          <cell r="N22">
            <v>180</v>
          </cell>
          <cell r="O22">
            <v>1566148.85</v>
          </cell>
          <cell r="P22">
            <v>0</v>
          </cell>
          <cell r="Q22" t="str">
            <v>4.4.90.39</v>
          </cell>
          <cell r="R22">
            <v>7135113.2699999996</v>
          </cell>
          <cell r="T22">
            <v>1004884.62</v>
          </cell>
          <cell r="U22">
            <v>7092578.8700000001</v>
          </cell>
          <cell r="V22" t="str">
            <v>andamento</v>
          </cell>
        </row>
        <row r="23">
          <cell r="A23" t="str">
            <v>CONCORRÊNCIA Licitação: 021/2022</v>
          </cell>
          <cell r="B23" t="str">
            <v>EXECUÇÃO DOS SERVIÇOS DE IMPLANTAÇÃO DA REDE DE DRENAGEM COM A UTILIZAÇÃO DE TUBOS DE PEAD, E COBERTURA COM PAVIMENTO RÍGIDO OU FLEXÍVEL - LOTE II</v>
          </cell>
          <cell r="G23" t="str">
            <v>07.157.925/0001-90</v>
          </cell>
          <cell r="H23" t="str">
            <v>WB CONSTRUTORA LTDA</v>
          </cell>
          <cell r="I23" t="str">
            <v>6-019/23</v>
          </cell>
          <cell r="J23">
            <v>45013</v>
          </cell>
          <cell r="K23">
            <v>210</v>
          </cell>
          <cell r="L23">
            <v>8475019.2100000009</v>
          </cell>
          <cell r="N23">
            <v>246</v>
          </cell>
          <cell r="O23">
            <v>1463582.31</v>
          </cell>
          <cell r="P23">
            <v>0</v>
          </cell>
          <cell r="Q23" t="str">
            <v>4.4.90.39</v>
          </cell>
          <cell r="R23">
            <v>7745906.2700000005</v>
          </cell>
          <cell r="T23">
            <v>858137.58000000007</v>
          </cell>
          <cell r="U23">
            <v>7745906.2699999996</v>
          </cell>
          <cell r="V23" t="str">
            <v>andamento</v>
          </cell>
        </row>
        <row r="24">
          <cell r="A24" t="str">
            <v>PREGÃO ELETRÔNICO Licitação: 006/2022</v>
          </cell>
          <cell r="B24" t="str">
            <v>CONTRATAÇÃO DE EMPRESA ESPECIALIZADA EM SERVIÇOS DE ENGENHARIA AGRONÔMICA COM FINS DE EXECUÇÃO DE SERVIÇOS DE MANUTENÇÃO DO ARBORETO URBANO DAS VIAS PÚBLICAS, PARQUES, PRAÇAS E DEMAIS ÁREAS VERDES DA CIDADE DO RECIFE</v>
          </cell>
          <cell r="G24" t="str">
            <v>00.449.936/0001-02</v>
          </cell>
          <cell r="H24" t="str">
            <v>ENGEMAIA E CIA LTDA</v>
          </cell>
          <cell r="I24" t="str">
            <v>6-020/22</v>
          </cell>
          <cell r="J24">
            <v>44678</v>
          </cell>
          <cell r="K24">
            <v>1216</v>
          </cell>
          <cell r="L24">
            <v>56414995.560000002</v>
          </cell>
          <cell r="N24">
            <v>0</v>
          </cell>
          <cell r="O24">
            <v>7377649.3799999999</v>
          </cell>
          <cell r="P24">
            <v>5651587.0800000001</v>
          </cell>
          <cell r="Q24" t="str">
            <v>3.3.90.39</v>
          </cell>
          <cell r="R24">
            <v>37485541.869999997</v>
          </cell>
          <cell r="T24">
            <v>3882840.33</v>
          </cell>
          <cell r="U24">
            <v>35481466.079999991</v>
          </cell>
          <cell r="V24" t="str">
            <v>andamento</v>
          </cell>
        </row>
        <row r="25">
          <cell r="A25" t="str">
            <v>CONCORRÊNCIA Licitação: 021/2022</v>
          </cell>
          <cell r="B25" t="str">
            <v>EXECUÇÃO DOS SERVIÇOS DE IMPLANTAÇÃO DA REDE DE DRENAGEM COM A UTILIZAÇÃO DE TUBOS DE PEAD, E COBERTURA COM PAVIMENTO RÍGIDO OU FLEXÍVEL - LOTE III</v>
          </cell>
          <cell r="G25" t="str">
            <v>10.893.105/0001-70</v>
          </cell>
          <cell r="H25" t="str">
            <v>AGILIS CONSTRUTORA LTDA</v>
          </cell>
          <cell r="I25" t="str">
            <v>6-020/23</v>
          </cell>
          <cell r="J25">
            <v>45012</v>
          </cell>
          <cell r="K25">
            <v>210</v>
          </cell>
          <cell r="L25">
            <v>9520808.8000000007</v>
          </cell>
          <cell r="N25">
            <v>240</v>
          </cell>
          <cell r="O25">
            <v>1463583.5</v>
          </cell>
          <cell r="P25">
            <v>0</v>
          </cell>
          <cell r="Q25" t="str">
            <v>4.4.90.39</v>
          </cell>
          <cell r="R25">
            <v>7628077.3000000007</v>
          </cell>
          <cell r="T25">
            <v>812186.98</v>
          </cell>
          <cell r="U25">
            <v>7628077.3000000007</v>
          </cell>
          <cell r="V25" t="str">
            <v>andamento</v>
          </cell>
        </row>
        <row r="26">
          <cell r="A26" t="str">
            <v>CONCORRÊNCIA Licitação: 024/2022</v>
          </cell>
          <cell r="B26" t="str">
            <v>RECUPERAÇÃO DE PASSARELAS, PONTILHÕES E ELEMENTOS LIMITADORES DE ESPAÇO OU PROTEÇÃO, NAS DIVERSAS RPA'S NA CIDADE DO RECIFE</v>
          </cell>
          <cell r="G26" t="str">
            <v>10.811.370/0001-62</v>
          </cell>
          <cell r="H26" t="str">
            <v>GUERRA CONSTRUCOES LTDA</v>
          </cell>
          <cell r="I26" t="str">
            <v>6-021/23</v>
          </cell>
          <cell r="J26">
            <v>45012</v>
          </cell>
          <cell r="K26">
            <v>790</v>
          </cell>
          <cell r="L26">
            <v>7723888.8499999996</v>
          </cell>
          <cell r="N26">
            <v>0</v>
          </cell>
          <cell r="O26">
            <v>1872614.65</v>
          </cell>
          <cell r="P26">
            <v>0</v>
          </cell>
          <cell r="Q26" t="str">
            <v>3.3.90.39</v>
          </cell>
          <cell r="R26">
            <v>4146641.7800000003</v>
          </cell>
          <cell r="T26">
            <v>61547.4</v>
          </cell>
          <cell r="U26">
            <v>3746677.81</v>
          </cell>
          <cell r="V26" t="str">
            <v>andamento</v>
          </cell>
        </row>
        <row r="27">
          <cell r="A27" t="str">
            <v>TOMADA DE PREÇOS Licitação: 001/2022</v>
          </cell>
          <cell r="B27" t="str">
            <v>REFORMA COM AMPLIAÇÃO PARA IMPLANTAÇÃO DO SETOR DE FISCALIZAÇÃO STFI , 2 E 3, LOCALIZADA NA RUA JOUBERTE CARVALHO, CASA AMARELA E DIVISÃO DE FISCALIZAÇÃO DVFI 4 E 5 LOCALIZADO NO PARQUE DO CAIARA, AV. MAURÍCIO DE NASSAU, 68 IPUTINGA, RECIFE</v>
          </cell>
          <cell r="G27" t="str">
            <v>17.772.572/0001-91</v>
          </cell>
          <cell r="H27" t="str">
            <v>CARVALHO PONTES ENGENHARIA LTDA - EPP</v>
          </cell>
          <cell r="I27" t="str">
            <v>6-022/22</v>
          </cell>
          <cell r="J27">
            <v>44694</v>
          </cell>
          <cell r="K27">
            <v>240</v>
          </cell>
          <cell r="L27">
            <v>570270.67000000004</v>
          </cell>
          <cell r="N27">
            <v>0</v>
          </cell>
          <cell r="O27">
            <v>0</v>
          </cell>
          <cell r="P27">
            <v>0</v>
          </cell>
          <cell r="Q27" t="str">
            <v>4.4.90.39</v>
          </cell>
          <cell r="R27">
            <v>0</v>
          </cell>
          <cell r="T27">
            <v>0</v>
          </cell>
          <cell r="U27">
            <v>0</v>
          </cell>
          <cell r="V27" t="str">
            <v>Cancelado</v>
          </cell>
        </row>
        <row r="28">
          <cell r="A28" t="str">
            <v>TOMADA DE PREÇOS Licitação: 009/2022</v>
          </cell>
          <cell r="B28" t="str">
            <v>CONTRATAÇÃO DE EMPRESA ESPECIALIZADA NO RAMO DE ENGENHARIA PARA EXECUÇÃO DOS SERVIÇOS DE REQUALIFICAÇÃO DA PASSARELA DO PINA E URBANISMO DO SEU ENTORNO</v>
          </cell>
          <cell r="G28" t="str">
            <v>08.135.535/0001-81</v>
          </cell>
          <cell r="H28" t="str">
            <v>CONSTRUTORA FJ LTDA</v>
          </cell>
          <cell r="I28" t="str">
            <v>6-022/23</v>
          </cell>
          <cell r="J28">
            <v>45013</v>
          </cell>
          <cell r="K28">
            <v>300</v>
          </cell>
          <cell r="L28">
            <v>2208415.6800000002</v>
          </cell>
          <cell r="N28">
            <v>45</v>
          </cell>
          <cell r="O28">
            <v>548793.1</v>
          </cell>
          <cell r="P28">
            <v>0</v>
          </cell>
          <cell r="Q28" t="str">
            <v>4.4.90.39</v>
          </cell>
          <cell r="R28">
            <v>2527840.11</v>
          </cell>
          <cell r="T28">
            <v>216607.57</v>
          </cell>
          <cell r="U28">
            <v>2527840.11</v>
          </cell>
          <cell r="V28" t="str">
            <v>andamento</v>
          </cell>
        </row>
        <row r="29">
          <cell r="A29" t="str">
            <v>CONCORRÊNCIA Licitação: 028/2022</v>
          </cell>
          <cell r="B29" t="str">
            <v>SERVIÇOS DE IMPLANTAÇÃO DA REDE DE DRENAGEM DE ÁGUAS PLUVIAIS, E PAVIMENTAÇÃO DE VIAS EM DIVERSAS RPA'S DA CIDADE DO RECIFE</v>
          </cell>
          <cell r="G29" t="str">
            <v>02.724.778/0001-79</v>
          </cell>
          <cell r="H29" t="str">
            <v>UNITERRA - UNIAO TERRAPLENAGEM E CONSTRUCOES LTDA</v>
          </cell>
          <cell r="I29" t="str">
            <v>6-023/23</v>
          </cell>
          <cell r="J29">
            <v>45013</v>
          </cell>
          <cell r="K29">
            <v>270</v>
          </cell>
          <cell r="L29">
            <v>16500029.24</v>
          </cell>
          <cell r="N29">
            <v>150</v>
          </cell>
          <cell r="O29">
            <v>4124033.37</v>
          </cell>
          <cell r="P29">
            <v>0</v>
          </cell>
          <cell r="Q29" t="str">
            <v>4.4.90.39</v>
          </cell>
          <cell r="R29">
            <v>19610559</v>
          </cell>
          <cell r="T29">
            <v>1099642.06</v>
          </cell>
          <cell r="U29">
            <v>19610558.999999996</v>
          </cell>
          <cell r="V29" t="str">
            <v>andamento</v>
          </cell>
        </row>
        <row r="30">
          <cell r="A30" t="str">
            <v>CONCORRÊNCIA Licitação:    004/2019</v>
          </cell>
          <cell r="B30" t="str">
            <v>SERVIÇOS COMPLEMENTARES DE LIMPEZA URBANA EM ÁREAS PLANAS E DE TALUDE E SERVIÇOS DE MANUTENÇÃO CONTÍNUA PREVENTIVA E CORRETIVA DA ARBORIZAÇÃO URBANA EM MORROS, INCLUINDO A LOCAÇÃO DE VEÍCULOS E EQUIPAMENTOS.</v>
          </cell>
          <cell r="G30" t="str">
            <v>40.884.405/0001-54</v>
          </cell>
          <cell r="H30" t="str">
            <v>LOQUIPE LOCACAO DE EQUIPAMENTOS E MAO DE OBRA LTDA</v>
          </cell>
          <cell r="I30" t="str">
            <v>6-024/19</v>
          </cell>
          <cell r="J30">
            <v>43633</v>
          </cell>
          <cell r="K30">
            <v>395</v>
          </cell>
          <cell r="L30">
            <v>12390281.279999999</v>
          </cell>
          <cell r="N30">
            <v>1460</v>
          </cell>
          <cell r="O30">
            <v>58537807.080000006</v>
          </cell>
          <cell r="P30">
            <v>4498504.68</v>
          </cell>
          <cell r="Q30" t="str">
            <v>3.3.90.39</v>
          </cell>
          <cell r="R30">
            <v>45124127.159999996</v>
          </cell>
          <cell r="T30">
            <v>2333513.66</v>
          </cell>
          <cell r="U30">
            <v>43891014.320000008</v>
          </cell>
          <cell r="V30" t="str">
            <v>andamento</v>
          </cell>
        </row>
        <row r="31">
          <cell r="A31" t="str">
            <v>CONCORRÊNCIA Licitação: 003/2022</v>
          </cell>
          <cell r="B31" t="str">
            <v>FORNECIMENTO E INSTAÇÃO DE LUMINARIAS COM TECNOLOGIA LED, COMPATÍVEIS COM SISTEMA DE TELEGESTÃO E REDE ELÉTRICA, PARA ILUMINAÇÃO PÚBLICA DA BR 101, NO TRECHO COMPREENDIDO ENTRE OS KM 69 E KM 78 E OS KM 62 E KM 58</v>
          </cell>
          <cell r="G31" t="str">
            <v>01.346.561/0001-00</v>
          </cell>
          <cell r="H31" t="str">
            <v>VASCONCELOS E SANTOS LTDA</v>
          </cell>
          <cell r="I31" t="str">
            <v>6-025/22</v>
          </cell>
          <cell r="J31">
            <v>44691</v>
          </cell>
          <cell r="K31">
            <v>395</v>
          </cell>
          <cell r="L31">
            <v>4795564.07</v>
          </cell>
          <cell r="N31">
            <v>330</v>
          </cell>
          <cell r="O31">
            <v>251036.99</v>
          </cell>
          <cell r="P31">
            <v>406244.03</v>
          </cell>
          <cell r="Q31" t="str">
            <v>4.4.90.39</v>
          </cell>
          <cell r="R31">
            <v>5064566.68</v>
          </cell>
          <cell r="T31">
            <v>604335.99</v>
          </cell>
          <cell r="U31">
            <v>4440210.54</v>
          </cell>
          <cell r="V31" t="str">
            <v>andamento</v>
          </cell>
        </row>
        <row r="32">
          <cell r="A32" t="str">
            <v>CONCORRÊNCIA Licitação: 003/2023</v>
          </cell>
          <cell r="B32" t="str">
            <v>RECUPERAÇÃO DE VIAS URBANAS PAVIMENTADAS EM CONCRETO DE CIMENTO PORTLAND, EM TRECHOS DE VIAS NAS RPA'S 1 A 6 DA CIDADE DO RECIFE</v>
          </cell>
          <cell r="G32" t="str">
            <v>00.338.885/0001-33</v>
          </cell>
          <cell r="H32" t="str">
            <v>NOVATEC CONSTRUCOES E EMPREENDIMENTOS LTDA</v>
          </cell>
          <cell r="I32" t="str">
            <v>6-025/23</v>
          </cell>
          <cell r="J32">
            <v>45030</v>
          </cell>
          <cell r="K32">
            <v>790</v>
          </cell>
          <cell r="L32">
            <v>21066518.57</v>
          </cell>
          <cell r="N32">
            <v>0</v>
          </cell>
          <cell r="O32">
            <v>0</v>
          </cell>
          <cell r="P32">
            <v>0</v>
          </cell>
          <cell r="Q32" t="str">
            <v>3.3.90.39</v>
          </cell>
          <cell r="R32">
            <v>5218452.3899999997</v>
          </cell>
          <cell r="T32">
            <v>0</v>
          </cell>
          <cell r="U32">
            <v>4249845.79</v>
          </cell>
          <cell r="V32" t="str">
            <v>andamento</v>
          </cell>
        </row>
        <row r="33">
          <cell r="A33" t="str">
            <v>CONCORRÊNCIA Licitação: 001/2023</v>
          </cell>
          <cell r="B33" t="str">
            <v>RECUPERAÇÃO DE ESCADARIAS, MUROS E CORRIMÕES LOCALIZADOS NAS DIVERSAS RPAS DA CIDADE DO RECIFE - LOTE I - RPA 2</v>
          </cell>
          <cell r="G33" t="str">
            <v>11.523.068/0001-71</v>
          </cell>
          <cell r="H33" t="str">
            <v>CONSTRUTORA FAELLA LTDA EPP</v>
          </cell>
          <cell r="I33" t="str">
            <v>6-026/23</v>
          </cell>
          <cell r="J33">
            <v>45036</v>
          </cell>
          <cell r="K33">
            <v>790</v>
          </cell>
          <cell r="L33">
            <v>9610506.0199999996</v>
          </cell>
          <cell r="N33">
            <v>0</v>
          </cell>
          <cell r="O33">
            <v>2361700.92</v>
          </cell>
          <cell r="P33">
            <v>0</v>
          </cell>
          <cell r="Q33" t="str">
            <v>3.3.90.39</v>
          </cell>
          <cell r="R33">
            <v>7078588.6699999999</v>
          </cell>
          <cell r="T33">
            <v>258716.11</v>
          </cell>
          <cell r="U33">
            <v>6739848.3700000001</v>
          </cell>
          <cell r="V33" t="str">
            <v>andamento</v>
          </cell>
        </row>
        <row r="34">
          <cell r="A34" t="str">
            <v>CONCORRÊNCIA Licitação: 001/2023</v>
          </cell>
          <cell r="B34" t="str">
            <v>RECUPERAÇÃO DE ESCADARIAS, MUROS E CORRIMÕES LOCALIZADOS NAS DIVERSAS RPAS DA CIDADE DO RECIFE - LOTE II - RPA 3</v>
          </cell>
          <cell r="G34" t="str">
            <v>07.693.988/0001-60</v>
          </cell>
          <cell r="H34" t="str">
            <v>F R F ENGENHARIA LTDA</v>
          </cell>
          <cell r="I34" t="str">
            <v>6-027/23</v>
          </cell>
          <cell r="J34">
            <v>45036</v>
          </cell>
          <cell r="K34">
            <v>790</v>
          </cell>
          <cell r="L34">
            <v>15430851.99</v>
          </cell>
          <cell r="N34">
            <v>0</v>
          </cell>
          <cell r="O34">
            <v>3112382</v>
          </cell>
          <cell r="P34">
            <v>0</v>
          </cell>
          <cell r="Q34" t="str">
            <v>3.3.90.39</v>
          </cell>
          <cell r="R34">
            <v>10544649.030000001</v>
          </cell>
          <cell r="T34">
            <v>481262.16</v>
          </cell>
          <cell r="U34">
            <v>9546002.7199999988</v>
          </cell>
          <cell r="V34" t="str">
            <v>andamento</v>
          </cell>
        </row>
        <row r="35">
          <cell r="A35" t="str">
            <v>CONCORRÊNCIA Licitação: 007/2021</v>
          </cell>
          <cell r="B35" t="str">
            <v>CONTRATAÇÃO DE EMPRESA ESPECIALIZADA EM ENGENHARIA PARA ELABORAÇÃO E READEQUAÇÃO DE PROJETOS EXECUTIVOS DE INFRAESTRUTURADA URBANA, PARA AS VIAS DA CIDADE DO RECIFE</v>
          </cell>
          <cell r="G35" t="str">
            <v>17.883.268/0001-11</v>
          </cell>
          <cell r="H35" t="str">
            <v>WRC SOLUCOES - PROJETOS, GEODESIA E CONSTRUÇÃO LTDA</v>
          </cell>
          <cell r="I35" t="str">
            <v>6-028/22</v>
          </cell>
          <cell r="J35">
            <v>44714</v>
          </cell>
          <cell r="K35">
            <v>360</v>
          </cell>
          <cell r="L35">
            <v>1688150.08</v>
          </cell>
          <cell r="N35">
            <v>240</v>
          </cell>
          <cell r="O35">
            <v>141311.6</v>
          </cell>
          <cell r="P35">
            <v>0</v>
          </cell>
          <cell r="Q35" t="str">
            <v>4.4.90.39</v>
          </cell>
          <cell r="R35">
            <v>967239.64</v>
          </cell>
          <cell r="T35">
            <v>0</v>
          </cell>
          <cell r="U35">
            <v>819260.32000000007</v>
          </cell>
          <cell r="V35" t="str">
            <v>andamento</v>
          </cell>
        </row>
        <row r="36">
          <cell r="A36" t="str">
            <v>CONCORRÊNCIA Licitação: 001/2023</v>
          </cell>
          <cell r="B36" t="str">
            <v>RECUPERAÇÃO DE ESCADARIAS, MUROS E CORRIMÕES LOCALIZADOS NAS DIVERSAS RPAS DA CIDADE DO RECIFE - LOTE III - RPA 4,5 e 6</v>
          </cell>
          <cell r="G36" t="str">
            <v>10.811.370/0001-62</v>
          </cell>
          <cell r="H36" t="str">
            <v>GUERRA CONSTRUCOES LTDA</v>
          </cell>
          <cell r="I36" t="str">
            <v>6-028/23</v>
          </cell>
          <cell r="J36">
            <v>45069</v>
          </cell>
          <cell r="K36">
            <v>790</v>
          </cell>
          <cell r="L36">
            <v>12528565.16</v>
          </cell>
          <cell r="N36">
            <v>0</v>
          </cell>
          <cell r="O36">
            <v>356205</v>
          </cell>
          <cell r="P36">
            <v>0</v>
          </cell>
          <cell r="Q36" t="str">
            <v>3.3.90.39</v>
          </cell>
          <cell r="R36">
            <v>6375465.9700000007</v>
          </cell>
          <cell r="T36">
            <v>249234.85</v>
          </cell>
          <cell r="U36">
            <v>5715529.3799999999</v>
          </cell>
          <cell r="V36" t="str">
            <v>andamento</v>
          </cell>
        </row>
        <row r="37">
          <cell r="A37" t="str">
            <v>PREGÃO ELETRÔNICO Licitação: 011/2023</v>
          </cell>
          <cell r="B37" t="str">
            <v>CONTRATAÇÃO DE EMPRESA ESPECIALIZADA PARA CONFECÇÃO E/OU RESTAURO DE ESCULTURAS, MONUMENTOS E BUSTOS EM DIVERSOS LOCAIS DA CIDADE DO RECIFE. (15.001826/2023-21)</v>
          </cell>
          <cell r="G37" t="str">
            <v>08.064.693/0001-98</v>
          </cell>
          <cell r="H37" t="str">
            <v>CONCREPOXI ENGENHARIA LTDA</v>
          </cell>
          <cell r="I37" t="str">
            <v>6-030/23</v>
          </cell>
          <cell r="J37">
            <v>45048</v>
          </cell>
          <cell r="K37">
            <v>210</v>
          </cell>
          <cell r="L37">
            <v>476900</v>
          </cell>
          <cell r="N37">
            <v>240</v>
          </cell>
          <cell r="O37">
            <v>104121.83</v>
          </cell>
          <cell r="P37">
            <v>0</v>
          </cell>
          <cell r="Q37" t="str">
            <v>4.4.90.39</v>
          </cell>
          <cell r="R37">
            <v>490256.86</v>
          </cell>
          <cell r="T37">
            <v>28801.68</v>
          </cell>
          <cell r="U37">
            <v>490256.86</v>
          </cell>
          <cell r="V37" t="str">
            <v>andamento</v>
          </cell>
        </row>
        <row r="38">
          <cell r="A38" t="str">
            <v>PREGÃO ELETRÔNICO Licitação: 017/2022</v>
          </cell>
          <cell r="B38" t="str">
            <v>MANUTENÇÃO E /OU INSTALAÇÃO DE EQUIPAMENTOS E BRINQUEDOS EM MADEIRA, INSTALADOS EM PARQUES E PRAÇAS DA CIDADE DO RECIFE</v>
          </cell>
          <cell r="G38" t="str">
            <v>06.157.352/0001-31</v>
          </cell>
          <cell r="H38" t="str">
            <v>JAIR SOUZA DE LIMA SERVICOS E CONSTRUCOES LTDA</v>
          </cell>
          <cell r="I38" t="str">
            <v>6-032/22</v>
          </cell>
          <cell r="J38">
            <v>44718</v>
          </cell>
          <cell r="K38">
            <v>790</v>
          </cell>
          <cell r="L38">
            <v>1278000</v>
          </cell>
          <cell r="N38">
            <v>0</v>
          </cell>
          <cell r="O38">
            <v>281802.27</v>
          </cell>
          <cell r="P38">
            <v>75638.98</v>
          </cell>
          <cell r="Q38" t="str">
            <v>3.3.90.39</v>
          </cell>
          <cell r="R38">
            <v>1594400.1500000001</v>
          </cell>
          <cell r="T38">
            <v>274334.37</v>
          </cell>
          <cell r="U38">
            <v>1594400.15</v>
          </cell>
        </row>
        <row r="39">
          <cell r="A39" t="str">
            <v>TOMADA DE PREÇOS Licitação: 001/2023</v>
          </cell>
          <cell r="B39" t="str">
            <v>RESTAURAÇÃO DA CAPELA DO CEMITÉRIO DE SANTO AMARO, LOCALIZADA NO BAIRRO DE SANTO AMARO</v>
          </cell>
          <cell r="G39" t="str">
            <v>08.064.693/0001-98</v>
          </cell>
          <cell r="H39" t="str">
            <v>CONCREPOXI ENGENHARIA LTDA</v>
          </cell>
          <cell r="I39" t="str">
            <v>6-032/23</v>
          </cell>
          <cell r="J39">
            <v>45051</v>
          </cell>
          <cell r="K39">
            <v>120</v>
          </cell>
          <cell r="L39">
            <v>631034.78</v>
          </cell>
          <cell r="N39">
            <v>147</v>
          </cell>
          <cell r="O39">
            <v>53232.76</v>
          </cell>
          <cell r="P39">
            <v>0</v>
          </cell>
          <cell r="Q39" t="str">
            <v>4.4.90.39</v>
          </cell>
          <cell r="R39">
            <v>633312.47</v>
          </cell>
          <cell r="T39">
            <v>0</v>
          </cell>
          <cell r="U39">
            <v>633312.47</v>
          </cell>
          <cell r="V39" t="str">
            <v>andamento</v>
          </cell>
        </row>
        <row r="40">
          <cell r="A40" t="str">
            <v>CONCORRÊNCIA Licitação: 007/2021</v>
          </cell>
          <cell r="B40" t="str">
            <v>CONTRATAÇÃO DE EMPESA ESPECIALIZADA DE ENGENHARIA PARAURBANISMO E SEUS ORÇAMENTOS DE CUSTOS PARA VIAS URBANAS DA CIDADE DO RECIFE</v>
          </cell>
          <cell r="G40" t="str">
            <v>70.073.275/0001-30</v>
          </cell>
          <cell r="H40" t="str">
            <v>GEOSISTEMAS ENGENHARIA E PLANEJAMENTO LTDA</v>
          </cell>
          <cell r="I40" t="str">
            <v>6-033/22</v>
          </cell>
          <cell r="J40">
            <v>44732</v>
          </cell>
          <cell r="K40">
            <v>360</v>
          </cell>
          <cell r="L40">
            <v>1507466.22</v>
          </cell>
          <cell r="N40">
            <v>300</v>
          </cell>
          <cell r="O40">
            <v>144164</v>
          </cell>
          <cell r="P40">
            <v>0</v>
          </cell>
          <cell r="Q40" t="str">
            <v>4.4.90.39</v>
          </cell>
          <cell r="R40">
            <v>1190610.6099999999</v>
          </cell>
          <cell r="T40">
            <v>0</v>
          </cell>
          <cell r="U40">
            <v>1047063.49</v>
          </cell>
          <cell r="V40" t="str">
            <v>andamento</v>
          </cell>
        </row>
        <row r="41">
          <cell r="A41" t="str">
            <v>CONCORRÊNCIA Licitação: 007/2021</v>
          </cell>
          <cell r="B41" t="str">
            <v>ELABORAÇÃO E READEQUAÇÃO DE PROJETOS EXECUTIVOS DE INFRAESTRUTURA URBANA, CONTEMPLANDO AS DISCIPLINAS DE GEOMETRIA, PAVIMENTAÇÃO, TERRAPLENAGEM, DRENAGEM, URBANISMO E SEUS ORÇAMENTOS DE CUSTOS PARA VIAS URBANAS DA CIDADE DO RECIFE</v>
          </cell>
          <cell r="G41" t="str">
            <v>70.073.275/0001-30</v>
          </cell>
          <cell r="H41" t="str">
            <v>GEOSISTEMAS ENGENHARIA E PLANEJAMENTO LTDA</v>
          </cell>
          <cell r="I41" t="str">
            <v>6-034/22</v>
          </cell>
          <cell r="J41">
            <v>44732</v>
          </cell>
          <cell r="K41">
            <v>425</v>
          </cell>
          <cell r="L41">
            <v>2244006.2200000002</v>
          </cell>
          <cell r="N41">
            <v>300</v>
          </cell>
          <cell r="O41">
            <v>13225.03</v>
          </cell>
          <cell r="P41">
            <v>0</v>
          </cell>
          <cell r="Q41" t="str">
            <v>4.4.90.39</v>
          </cell>
          <cell r="R41">
            <v>802582.91</v>
          </cell>
          <cell r="T41">
            <v>0</v>
          </cell>
          <cell r="U41">
            <v>608122.24</v>
          </cell>
          <cell r="V41" t="str">
            <v>andamento</v>
          </cell>
        </row>
        <row r="42">
          <cell r="A42" t="str">
            <v>CONCORRÊNCIA Licitação: 026/2022</v>
          </cell>
          <cell r="B42" t="str">
            <v>MANUTENÇÃO PREVENTIVA E CORRETIVA DO SISTEMA DE ILUMINAÇÃO PÚBLICA CONVENCIONAL DAS RPA`S 2 E 3 DO MUNICÍPIO DO RECIFE EM POSTES ATÉ 12 METROS DE ALTURA - LOTE II</v>
          </cell>
          <cell r="G42" t="str">
            <v>41.116.138/0001-38</v>
          </cell>
          <cell r="H42" t="str">
            <v>REAL ENERGY LTDA</v>
          </cell>
          <cell r="I42" t="str">
            <v>6-034/23</v>
          </cell>
          <cell r="J42">
            <v>45065</v>
          </cell>
          <cell r="K42">
            <v>790</v>
          </cell>
          <cell r="L42">
            <v>6928531.4000000004</v>
          </cell>
          <cell r="N42">
            <v>0</v>
          </cell>
          <cell r="O42">
            <v>0</v>
          </cell>
          <cell r="P42">
            <v>0</v>
          </cell>
          <cell r="Q42" t="str">
            <v>3.3.90.39</v>
          </cell>
          <cell r="R42">
            <v>2065637.55</v>
          </cell>
          <cell r="T42">
            <v>477907.84</v>
          </cell>
          <cell r="U42">
            <v>1826683.6300000001</v>
          </cell>
          <cell r="V42" t="str">
            <v>andamento</v>
          </cell>
        </row>
        <row r="43">
          <cell r="A43" t="str">
            <v>CONCORRÊNCIA Licitação: 006/2021</v>
          </cell>
          <cell r="B43" t="str">
            <v xml:space="preserve"> IMPLANTAÇÃO DA REDE DE DRENAGEM, PAVIMENTAÇÃO, ACESSIBILIDADE E SINALIZAÇÃO DAS RUAS DESEMBARGADOR VIRGÍLIO DE SA PEREIRA E MATHUZALEM WANDERLEY, LOCALIZADAS NO BAIRRO DO CORDEIRO. LOTE 01</v>
          </cell>
          <cell r="G43" t="str">
            <v>02.724.778/0001-79</v>
          </cell>
          <cell r="H43" t="str">
            <v>UNITERRA - UNIAO TERRAPLENAGEM E CONSTRUCOES LTDA</v>
          </cell>
          <cell r="I43" t="str">
            <v>6-035/21</v>
          </cell>
          <cell r="J43">
            <v>44456</v>
          </cell>
          <cell r="K43">
            <v>210</v>
          </cell>
          <cell r="L43">
            <v>2111167.85</v>
          </cell>
          <cell r="N43">
            <v>725</v>
          </cell>
          <cell r="O43">
            <v>420544.48</v>
          </cell>
          <cell r="P43">
            <v>-902.12</v>
          </cell>
          <cell r="Q43" t="str">
            <v>4.4.90.39</v>
          </cell>
          <cell r="R43">
            <v>1964336.42</v>
          </cell>
          <cell r="T43">
            <v>0</v>
          </cell>
          <cell r="U43">
            <v>1918235.1</v>
          </cell>
          <cell r="V43" t="str">
            <v>andamento</v>
          </cell>
        </row>
        <row r="44">
          <cell r="A44" t="str">
            <v>CONCORRÊNCIA Licitação: 001/2022</v>
          </cell>
          <cell r="B44" t="str">
            <v>SERVIÇO DE MANUTENÇÃO PREVENTIVA DO SISTEMA MACRODRENAGEM EM TODAS AS RPAS DA CIDADE DO RECIFE, LOTE I - RPA 01 E RPA 06</v>
          </cell>
          <cell r="G44" t="str">
            <v>01.514.128/0001-36</v>
          </cell>
          <cell r="H44" t="str">
            <v>SCAVE SERVICOS DE ENGENHARIA E LOCACAO LTDA</v>
          </cell>
          <cell r="I44" t="str">
            <v>6-036/22</v>
          </cell>
          <cell r="J44">
            <v>44719</v>
          </cell>
          <cell r="K44">
            <v>1155</v>
          </cell>
          <cell r="L44">
            <v>7836613.5899999999</v>
          </cell>
          <cell r="N44">
            <v>0</v>
          </cell>
          <cell r="O44">
            <v>1826425.61</v>
          </cell>
          <cell r="P44">
            <v>618502.46</v>
          </cell>
          <cell r="Q44" t="str">
            <v>3.3.90.39</v>
          </cell>
          <cell r="R44">
            <v>6851668.2000000002</v>
          </cell>
          <cell r="T44">
            <v>730823.17</v>
          </cell>
          <cell r="U44">
            <v>6851668.1999999993</v>
          </cell>
          <cell r="V44" t="str">
            <v>andamento</v>
          </cell>
        </row>
        <row r="45">
          <cell r="A45" t="str">
            <v>PREGÃO ELETRÔNICO Licitação: 002/2023</v>
          </cell>
          <cell r="B45" t="str">
            <v>FORNECIMENTO E INSTALAÇÃO DE RELÉS DE TELEGESTÃO NO SISTEMA DE ILUMINAÇÃO PÚBLICA DA CIDADE DO RECIFE-PE. (15.000825/2023-60)</v>
          </cell>
          <cell r="G45" t="str">
            <v>01.346.561/0001-00</v>
          </cell>
          <cell r="H45" t="str">
            <v>VASCONCELOS E SANTOS LTDA</v>
          </cell>
          <cell r="I45" t="str">
            <v>6-036/23</v>
          </cell>
          <cell r="J45">
            <v>45078</v>
          </cell>
          <cell r="K45">
            <v>760</v>
          </cell>
          <cell r="L45">
            <v>17399999.920000002</v>
          </cell>
          <cell r="N45">
            <v>0</v>
          </cell>
          <cell r="O45">
            <v>0</v>
          </cell>
          <cell r="P45">
            <v>0</v>
          </cell>
          <cell r="Q45" t="str">
            <v>3.3.90.39</v>
          </cell>
          <cell r="R45">
            <v>9871976.0199999996</v>
          </cell>
          <cell r="T45">
            <v>5667836.6600000001</v>
          </cell>
          <cell r="U45">
            <v>9869953.0199999996</v>
          </cell>
          <cell r="V45" t="str">
            <v>andamento</v>
          </cell>
        </row>
        <row r="46">
          <cell r="A46" t="str">
            <v>CONCORRÊNCIA Licitação: 001/2022</v>
          </cell>
          <cell r="B46" t="str">
            <v>SERVIÇO DE MANUTENÇÃO PREVENTIVA DO SISTEMA MACRODRENAGEM EM TODAS AS RPAS DA CIDADE DO RECIFE, LOTE II - RPA 02 E RPA 03</v>
          </cell>
          <cell r="G46" t="str">
            <v>01.514.128/0001-36</v>
          </cell>
          <cell r="H46" t="str">
            <v>SCAVE SERVICOS DE ENGENHARIA E LOCACAO LTDA</v>
          </cell>
          <cell r="I46" t="str">
            <v>6-037/22</v>
          </cell>
          <cell r="J46">
            <v>44719</v>
          </cell>
          <cell r="K46">
            <v>1155</v>
          </cell>
          <cell r="L46">
            <v>8921904</v>
          </cell>
          <cell r="N46">
            <v>0</v>
          </cell>
          <cell r="O46">
            <v>0</v>
          </cell>
          <cell r="P46">
            <v>696482.5</v>
          </cell>
          <cell r="Q46" t="str">
            <v>3.3.90.39</v>
          </cell>
          <cell r="R46">
            <v>7324076.8199999994</v>
          </cell>
          <cell r="T46">
            <v>1260275.72</v>
          </cell>
          <cell r="U46">
            <v>7324076.8200000003</v>
          </cell>
          <cell r="V46" t="str">
            <v>andamento</v>
          </cell>
        </row>
        <row r="47">
          <cell r="A47" t="str">
            <v>CONCORRÊNCIA Licitação: 009/2023</v>
          </cell>
          <cell r="B47" t="str">
            <v>REQUALIFICAÇÃO DE PISO E CRIAÇÃO DE ESPAÇOS DE CONVIVÊNCIA EM CEMITÉRIO PÚBLICOS. LOTE I - CEMITERIO DE SANTO AMARO</v>
          </cell>
          <cell r="G47" t="str">
            <v>05.625.079/0001-60</v>
          </cell>
          <cell r="H47" t="str">
            <v xml:space="preserve">CONSTRUTORA MARDIFI LTDA - EPP </v>
          </cell>
          <cell r="I47" t="str">
            <v>6-037/23</v>
          </cell>
          <cell r="J47">
            <v>45104</v>
          </cell>
          <cell r="K47">
            <v>210</v>
          </cell>
          <cell r="L47">
            <v>3970705.84</v>
          </cell>
          <cell r="N47">
            <v>90</v>
          </cell>
          <cell r="O47">
            <v>750385.95</v>
          </cell>
          <cell r="P47">
            <v>0</v>
          </cell>
          <cell r="Q47" t="str">
            <v>4.4.90.39</v>
          </cell>
          <cell r="R47">
            <v>3224307.04</v>
          </cell>
          <cell r="T47">
            <v>593708.67999999993</v>
          </cell>
          <cell r="U47">
            <v>3224307.04</v>
          </cell>
          <cell r="V47" t="str">
            <v>andamento</v>
          </cell>
        </row>
        <row r="48">
          <cell r="A48" t="str">
            <v>CONCORRÊNCIA Licitação: 009/2023</v>
          </cell>
          <cell r="B48" t="str">
            <v>REQUALIFICAÇÃO DE PISO E CRIAÇÃO DE ESPAÇOS DE CONVIVÊNCIA EM CEMITÉRIO PÚBLICOS. LOTE II - CEMITERIO PARQUE DAS FLORES</v>
          </cell>
          <cell r="G48" t="str">
            <v>05.625.079/0001-60</v>
          </cell>
          <cell r="H48" t="str">
            <v xml:space="preserve">CONSTRUTORA MARDIFI LTDA - EPP </v>
          </cell>
          <cell r="I48" t="str">
            <v>6-038/23</v>
          </cell>
          <cell r="J48">
            <v>45104</v>
          </cell>
          <cell r="K48">
            <v>210</v>
          </cell>
          <cell r="L48">
            <v>663682.94999999995</v>
          </cell>
          <cell r="N48">
            <v>0</v>
          </cell>
          <cell r="O48">
            <v>161448.54</v>
          </cell>
          <cell r="P48">
            <v>0</v>
          </cell>
          <cell r="Q48" t="str">
            <v>4.4.90.39</v>
          </cell>
          <cell r="R48">
            <v>825012.04</v>
          </cell>
          <cell r="T48">
            <v>0</v>
          </cell>
          <cell r="U48">
            <v>825012.04</v>
          </cell>
          <cell r="V48" t="str">
            <v>encerrado</v>
          </cell>
        </row>
        <row r="49">
          <cell r="A49" t="str">
            <v xml:space="preserve">  CONCORRÊNCIA Licitação: 004/2022</v>
          </cell>
          <cell r="B49" t="str">
            <v>IMPLANTAÇÃO DE CICLOVIA NA AV. AGAMENON MAGALHÃES NO TRECHO COMPREENDIDO ENTRE A RUA DR. LEOPOLDO LINS, NO BAIRRO DA BOA VISTA ATÉ A AVENIDA SATURTINO DE BRITO, NO BAIRRO DO CABANGA, RECIFE PE</v>
          </cell>
          <cell r="G49" t="str">
            <v>11.864.311/0001-15</v>
          </cell>
          <cell r="H49" t="str">
            <v>SBC SOCIEDADE BRASILEIRA DE CONSTRUCOES LTDA</v>
          </cell>
          <cell r="I49" t="str">
            <v>6-039/22</v>
          </cell>
          <cell r="J49">
            <v>44726</v>
          </cell>
          <cell r="K49">
            <v>337</v>
          </cell>
          <cell r="L49">
            <v>5966954.5499999998</v>
          </cell>
          <cell r="N49">
            <v>240</v>
          </cell>
          <cell r="O49">
            <v>1342499.14</v>
          </cell>
          <cell r="P49">
            <v>460201</v>
          </cell>
          <cell r="Q49" t="str">
            <v>4.4.90.39</v>
          </cell>
          <cell r="R49">
            <v>5639929.0499999998</v>
          </cell>
          <cell r="T49">
            <v>0</v>
          </cell>
          <cell r="U49">
            <v>5639929.0499999998</v>
          </cell>
          <cell r="V49" t="str">
            <v>encerrado</v>
          </cell>
        </row>
        <row r="50">
          <cell r="A50" t="str">
            <v>CONCORRÊNCIA Licitação: 008/2023</v>
          </cell>
          <cell r="B50" t="str">
            <v>SERVIÇOS DE IMPLANTAÇÃO DA REDE DE DRENAGEM DE ÁGUAS PLUVIAIS E PAVIMENTAÇÃO DE VIAS, EM ÁREAS URBANIZADAS, NA CIDADE DO RECIFE</v>
          </cell>
          <cell r="G50" t="str">
            <v>08.135.535/0001-81</v>
          </cell>
          <cell r="H50" t="str">
            <v>CONSTRUTORA FJ LTDA</v>
          </cell>
          <cell r="I50" t="str">
            <v>6-039/23</v>
          </cell>
          <cell r="J50">
            <v>45093</v>
          </cell>
          <cell r="K50">
            <v>240</v>
          </cell>
          <cell r="L50">
            <v>6119883.9699999997</v>
          </cell>
          <cell r="N50">
            <v>120</v>
          </cell>
          <cell r="O50">
            <v>793045.75</v>
          </cell>
          <cell r="P50">
            <v>0</v>
          </cell>
          <cell r="Q50" t="str">
            <v>4.4.90.39</v>
          </cell>
          <cell r="R50">
            <v>4725781.62</v>
          </cell>
          <cell r="T50">
            <v>1118904.7799999998</v>
          </cell>
          <cell r="U50">
            <v>4725781.63</v>
          </cell>
          <cell r="V50" t="str">
            <v>andamento</v>
          </cell>
        </row>
        <row r="51">
          <cell r="A51" t="str">
            <v>CONCORRÊNCIA / Nº 005/2021</v>
          </cell>
          <cell r="B51" t="str">
            <v>CONTRATAÇÃO DE EMPRESA DE ENGENHARIA ESPECIALIZADA EM ILUMINAÇÃO PÚBLICA PARA REALIZAÇÃO DE MANUTENÇÃO PREVENTIVA E CORRETIVA DO SISTEMA DE ILUMINAÇÃO PÚBLICA ESPECIAL DO MUNICÍPIO DO RECIFE</v>
          </cell>
          <cell r="G51" t="str">
            <v>41.116.138/0001-38</v>
          </cell>
          <cell r="H51" t="str">
            <v>REAL ENERGY LTDA</v>
          </cell>
          <cell r="I51" t="str">
            <v>6-040/21</v>
          </cell>
          <cell r="J51">
            <v>44469</v>
          </cell>
          <cell r="K51">
            <v>920</v>
          </cell>
          <cell r="L51">
            <v>1730333.68</v>
          </cell>
          <cell r="N51">
            <v>0</v>
          </cell>
          <cell r="O51">
            <v>0</v>
          </cell>
          <cell r="P51">
            <v>210037.76000000001</v>
          </cell>
          <cell r="Q51" t="str">
            <v>3.3.90.39</v>
          </cell>
          <cell r="R51">
            <v>1372886.07</v>
          </cell>
          <cell r="T51">
            <v>0</v>
          </cell>
          <cell r="U51">
            <v>1372886.07</v>
          </cell>
          <cell r="V51" t="str">
            <v>andamento</v>
          </cell>
        </row>
        <row r="52">
          <cell r="A52" t="str">
            <v>CONCORRÊNCIA Licitação: 004/2023</v>
          </cell>
          <cell r="B52" t="str">
            <v>SERVIÇOS DE MANUTENÇÃO DO SISTEMA DA MICRODRENAGEM DE ÁGUAS PLUVIAIS DAS RPA 1 DA CIDADE DO RECIFE. LOTE I</v>
          </cell>
          <cell r="G52" t="str">
            <v>10.811.370/0001-62</v>
          </cell>
          <cell r="H52" t="str">
            <v>GUERRA CONSTRUCOES LTDA</v>
          </cell>
          <cell r="I52" t="str">
            <v>6-040/23</v>
          </cell>
          <cell r="J52">
            <v>45092</v>
          </cell>
          <cell r="K52">
            <v>1125</v>
          </cell>
          <cell r="L52">
            <v>29948485.25</v>
          </cell>
          <cell r="N52">
            <v>0</v>
          </cell>
          <cell r="O52">
            <v>0</v>
          </cell>
          <cell r="P52">
            <v>0</v>
          </cell>
          <cell r="Q52" t="str">
            <v>3.3.90.39</v>
          </cell>
          <cell r="R52">
            <v>7255164.4299999997</v>
          </cell>
          <cell r="T52">
            <v>1971878.81</v>
          </cell>
          <cell r="U52">
            <v>6727487.3200000003</v>
          </cell>
          <cell r="V52" t="str">
            <v>andamento</v>
          </cell>
        </row>
        <row r="53">
          <cell r="A53" t="str">
            <v>CONCORRÊNCIA Licitação: 006/2021</v>
          </cell>
          <cell r="B53" t="str">
            <v>IMPLANTAÇÃO DA REDE DE DRENAGEM, PAVIMENTAÇÃO, ACESSIBILIDADE E SINALIZAÇÃO DAS RUAS DESEMBARGADOR VIRGÍLIO DE SA PEREIRA E MATHUZALEM WANDERLEY, LOCALIZADAS NO BAIRRO DO CORDEIRO. LOTE 02</v>
          </cell>
          <cell r="G53" t="str">
            <v>02.724.778/0001-79</v>
          </cell>
          <cell r="H53" t="str">
            <v>UNITERRA - UNIAO TERRAPLENAGEM E CONSTRUCOES LTDA</v>
          </cell>
          <cell r="I53" t="str">
            <v>6-041/21</v>
          </cell>
          <cell r="J53">
            <v>44456</v>
          </cell>
          <cell r="K53">
            <v>180</v>
          </cell>
          <cell r="L53">
            <v>1022476.9</v>
          </cell>
          <cell r="N53">
            <v>748</v>
          </cell>
          <cell r="O53">
            <v>0</v>
          </cell>
          <cell r="P53">
            <v>-817.52000000000407</v>
          </cell>
          <cell r="Q53" t="str">
            <v>4.4.90.39</v>
          </cell>
          <cell r="R53">
            <v>383346.66</v>
          </cell>
          <cell r="T53">
            <v>0</v>
          </cell>
          <cell r="U53">
            <v>383346.66000000003</v>
          </cell>
          <cell r="V53" t="str">
            <v>andamento</v>
          </cell>
        </row>
        <row r="54">
          <cell r="A54" t="str">
            <v>CONCORRÊNCIA Licitação: 004/2023</v>
          </cell>
          <cell r="B54" t="str">
            <v>SERVIÇOS DE MANUTENÇÃO DO SISTEMA DA MICRODRENAGEM DE ÁGUAS PLUVIAIS DAS RPAS 2 E 3 DA CIDADE DO RECIFE. LOTE II</v>
          </cell>
          <cell r="G54" t="str">
            <v>07.693.988/0001-60</v>
          </cell>
          <cell r="H54" t="str">
            <v>F R F ENGENHARIA LTDA</v>
          </cell>
          <cell r="I54" t="str">
            <v>6-041/23</v>
          </cell>
          <cell r="J54">
            <v>45092</v>
          </cell>
          <cell r="K54">
            <v>1125</v>
          </cell>
          <cell r="L54">
            <v>36023180.299999997</v>
          </cell>
          <cell r="N54">
            <v>0</v>
          </cell>
          <cell r="O54">
            <v>2056726.69</v>
          </cell>
          <cell r="P54">
            <v>0</v>
          </cell>
          <cell r="Q54" t="str">
            <v>3.3.90.39</v>
          </cell>
          <cell r="R54" t="e">
            <v>#REF!</v>
          </cell>
          <cell r="T54">
            <v>1713940.64</v>
          </cell>
          <cell r="U54">
            <v>6365490.0099999998</v>
          </cell>
          <cell r="V54" t="str">
            <v>andamento</v>
          </cell>
        </row>
        <row r="55">
          <cell r="A55" t="str">
            <v>CONCORRÊNCIA Licitação: 026/2022</v>
          </cell>
          <cell r="B55" t="str">
            <v>CONTRATAÇÃO DE EMPRESA DE ENGENHARIA PARA REALIZAÇÃO DE MANUTENÇÃO PREVENTIVA E CORRETIVA DO SISTEMA DE ILUMINAÇÃO PÚBLICA CONVENCIONAL DAS RPA`S 1 E 6 DO MUNICÍPIO DO RECIFE EM POSTES COM ATÉ 12 METROS DE ALTURA - LOTE I</v>
          </cell>
          <cell r="G55" t="str">
            <v>41.105.990/0001-00</v>
          </cell>
          <cell r="H55" t="str">
            <v>ENGERIP CONSTRUCOES E SERVICOS DE ENGENHARIA LTDA</v>
          </cell>
          <cell r="I55" t="str">
            <v>6-042/23</v>
          </cell>
          <cell r="J55">
            <v>45091</v>
          </cell>
          <cell r="K55">
            <v>760</v>
          </cell>
          <cell r="L55">
            <v>7947298.9000000004</v>
          </cell>
          <cell r="N55">
            <v>0</v>
          </cell>
          <cell r="O55">
            <v>0</v>
          </cell>
          <cell r="P55">
            <v>0</v>
          </cell>
          <cell r="Q55" t="str">
            <v>3.3.90.39</v>
          </cell>
          <cell r="R55">
            <v>1850043</v>
          </cell>
          <cell r="T55">
            <v>777163.20000000007</v>
          </cell>
          <cell r="U55">
            <v>1850043</v>
          </cell>
          <cell r="V55" t="str">
            <v>andamento</v>
          </cell>
        </row>
        <row r="56">
          <cell r="A56" t="str">
            <v>CONCORRÊNCIA Licitação: 026/2022</v>
          </cell>
          <cell r="B56" t="str">
            <v>CONTRATAÇÃO DE EMPRESA DE ENGENHARIA PARA REALIZAÇÃO DE MANUTENÇÃO PREVENTIVA E CORRETIVA DO SISTEMA DE ILUMINAÇÃO PÚBLICA CONVENCIONAL DAS RPA`S 4 E 5 DO MUNICÍPIO DO RECIFE EM POSTES COM ATÉ 12 METROS DE ALTURA - LOTE III</v>
          </cell>
          <cell r="G56" t="str">
            <v>41.105.990/0001-00</v>
          </cell>
          <cell r="H56" t="str">
            <v>ENGERIP CONSTRUCOES E SERVICOS DE ENGENHARIA LTDA</v>
          </cell>
          <cell r="I56" t="str">
            <v>6-043/23</v>
          </cell>
          <cell r="J56">
            <v>45091</v>
          </cell>
          <cell r="K56">
            <v>760</v>
          </cell>
          <cell r="L56">
            <v>7782286.4199999999</v>
          </cell>
          <cell r="N56">
            <v>0</v>
          </cell>
          <cell r="O56">
            <v>0</v>
          </cell>
          <cell r="P56">
            <v>0</v>
          </cell>
          <cell r="Q56" t="str">
            <v>3.3.90.39</v>
          </cell>
          <cell r="R56">
            <v>1884643.2</v>
          </cell>
          <cell r="T56">
            <v>803105.28000000003</v>
          </cell>
          <cell r="U56">
            <v>1884643.2</v>
          </cell>
          <cell r="V56" t="str">
            <v>andamento</v>
          </cell>
        </row>
        <row r="57">
          <cell r="A57" t="str">
            <v>PREGÃO ELETRÔNICO Licitação : 007/2023</v>
          </cell>
          <cell r="B57" t="str">
            <v>FORNECIMENTO E INSTALAÇÃO DE ALAMBRADOS E PISO FULGET, VISANDO ATENDER A DEMANDA DE MANUTENÇÃO DE PARQUES, PRAÇAS E ÁREAS VERDES NA CIDADE DO RECIFE. PROCESSO: 15.000896/2023-62</v>
          </cell>
          <cell r="G57" t="str">
            <v>08.135.535/0001-81</v>
          </cell>
          <cell r="H57" t="str">
            <v>CONSTRUTORA FJ LTDA</v>
          </cell>
          <cell r="I57" t="str">
            <v>6-044/23</v>
          </cell>
          <cell r="J57">
            <v>0</v>
          </cell>
          <cell r="K57">
            <v>365</v>
          </cell>
          <cell r="L57">
            <v>8704779.25</v>
          </cell>
          <cell r="N57">
            <v>0</v>
          </cell>
          <cell r="O57">
            <v>0</v>
          </cell>
          <cell r="P57">
            <v>0</v>
          </cell>
          <cell r="Q57" t="str">
            <v>4.4.90.39</v>
          </cell>
          <cell r="R57">
            <v>0</v>
          </cell>
          <cell r="T57">
            <v>0</v>
          </cell>
          <cell r="U57">
            <v>0</v>
          </cell>
          <cell r="V57" t="str">
            <v>em elaboração (6.052/23)</v>
          </cell>
        </row>
        <row r="58">
          <cell r="A58" t="str">
            <v>CONCORRÊNCIA Licitação: 005/2023</v>
          </cell>
          <cell r="B58" t="str">
            <v>SERVIÇOS DE REQUALIFICAÇÃO, MANUTENÇÃO PREVENTIVA E CORRETIVA DE PRAÇAS, PARQUES E ÁREAS VERDES, CANTEIROS DE AVENIDAS E REFÚGIOS DA CIDADE DO RECIFE LOTE I - RPA 1,2 E 3</v>
          </cell>
          <cell r="G58" t="str">
            <v>05.625.079/0001-60</v>
          </cell>
          <cell r="H58" t="str">
            <v xml:space="preserve">CONSTRUTORA MARDIFI LTDA - EPP </v>
          </cell>
          <cell r="I58" t="str">
            <v>6-045/23</v>
          </cell>
          <cell r="J58">
            <v>45124</v>
          </cell>
          <cell r="K58">
            <v>760</v>
          </cell>
          <cell r="L58">
            <v>14258024.6</v>
          </cell>
          <cell r="N58">
            <v>0</v>
          </cell>
          <cell r="O58">
            <v>2578087.65</v>
          </cell>
          <cell r="P58">
            <v>0</v>
          </cell>
          <cell r="Q58" t="str">
            <v>3.3.90.39</v>
          </cell>
          <cell r="R58">
            <v>5980549.1600000001</v>
          </cell>
          <cell r="T58">
            <v>702418.94</v>
          </cell>
          <cell r="U58">
            <v>5980549.1600000001</v>
          </cell>
          <cell r="V58" t="str">
            <v>andamento</v>
          </cell>
        </row>
        <row r="59">
          <cell r="A59" t="str">
            <v>CONCORRÊNCIA Licitação: 006/2022</v>
          </cell>
          <cell r="B59" t="str">
            <v>RECUPERAÇÃO DE CONTENÇÃO DE CANAIS, NAS DIVERSAS REGIÃO POLITICO ADMINISTRATIVA RPA'S DA CIDADE DO RECIFE</v>
          </cell>
          <cell r="G59" t="str">
            <v>10.811.370/0001-62</v>
          </cell>
          <cell r="H59" t="str">
            <v>GUERRA CONSTRUCOES LTDA</v>
          </cell>
          <cell r="I59" t="str">
            <v>6-046/22</v>
          </cell>
          <cell r="J59">
            <v>44776</v>
          </cell>
          <cell r="K59">
            <v>600</v>
          </cell>
          <cell r="L59">
            <v>6573647.8899999997</v>
          </cell>
          <cell r="N59">
            <v>0</v>
          </cell>
          <cell r="O59">
            <v>1643633.29</v>
          </cell>
          <cell r="P59">
            <v>0</v>
          </cell>
          <cell r="Q59" t="str">
            <v>4.4.90.39</v>
          </cell>
          <cell r="R59">
            <v>6399453.0099999998</v>
          </cell>
          <cell r="T59">
            <v>0</v>
          </cell>
          <cell r="U59">
            <v>6399453.0099999998</v>
          </cell>
        </row>
        <row r="60">
          <cell r="A60" t="str">
            <v>CONCORRÊNCIA Licitação: 005/2023</v>
          </cell>
          <cell r="B60" t="str">
            <v>SERVIÇOS DE REQUALIFICAÇÃO, MANUTENÇÃO PREVENTIVA E CORRETIVA DE PRAÇAS, PARQUES E ÁREAS VERDES, CANTEIROS DE AVENIDAS E REFÚGIOS DA CIDADE DO RECIFE LOTE II - RPA 4,5 E 6</v>
          </cell>
          <cell r="G60" t="str">
            <v>10.698.641/0001-15</v>
          </cell>
          <cell r="H60" t="str">
            <v>CONSTRUTORA MASTER EIRELI ME</v>
          </cell>
          <cell r="I60" t="str">
            <v>6-046/23</v>
          </cell>
          <cell r="J60">
            <v>45124</v>
          </cell>
          <cell r="K60">
            <v>760</v>
          </cell>
          <cell r="L60">
            <v>14460208.800000001</v>
          </cell>
          <cell r="N60">
            <v>0</v>
          </cell>
          <cell r="O60">
            <v>1894636.72</v>
          </cell>
          <cell r="P60">
            <v>0</v>
          </cell>
          <cell r="Q60" t="str">
            <v>3.3.90.39</v>
          </cell>
          <cell r="R60">
            <v>4710544.16</v>
          </cell>
          <cell r="T60">
            <v>577516.62</v>
          </cell>
          <cell r="U60">
            <v>4549199.3099999996</v>
          </cell>
          <cell r="V60" t="str">
            <v>andamento</v>
          </cell>
        </row>
        <row r="61">
          <cell r="A61" t="str">
            <v>CONCORRÊNCIA Licitação: 005/2022</v>
          </cell>
          <cell r="B61" t="str">
            <v>CONTRATAÇÃO DE EMPRESA DE ENGENHARIA ESPECIALIZADA EM ILUMINAÇÃO PÚBLICA PARA FORNECIMENTO E INSTALAÇÃO DE SISTEMA DE PROTEÇÃO CONTRA VAZAMENTO DE CORRENTE E ATERRAMENTO NOS POSTES EXCLUSIVOS DE ILUMINAÇÃO PÚBLICA NA CIDADE DO RECIFE/PE</v>
          </cell>
          <cell r="G61" t="str">
            <v>41.116.138/0001-38</v>
          </cell>
          <cell r="H61" t="str">
            <v>REAL ENERGY LTDA</v>
          </cell>
          <cell r="I61" t="str">
            <v>6-047/22</v>
          </cell>
          <cell r="J61">
            <v>44774</v>
          </cell>
          <cell r="K61">
            <v>760</v>
          </cell>
          <cell r="L61">
            <v>3890767.22</v>
          </cell>
          <cell r="N61">
            <v>0</v>
          </cell>
          <cell r="O61">
            <v>452758.85</v>
          </cell>
          <cell r="P61">
            <v>0</v>
          </cell>
          <cell r="Q61" t="str">
            <v>3.3.90.39</v>
          </cell>
          <cell r="R61">
            <v>2081520.34</v>
          </cell>
          <cell r="T61">
            <v>320560.05</v>
          </cell>
          <cell r="U61">
            <v>2081520.3400000003</v>
          </cell>
          <cell r="V61" t="str">
            <v>andamento</v>
          </cell>
        </row>
        <row r="62">
          <cell r="A62" t="str">
            <v>PREGÃO ELETRÔNICO Licitação : 013/2023</v>
          </cell>
          <cell r="B62" t="str">
            <v>EXECUÇÃO DE SERVIÇOS PARA IMPLANTAÇÃO E CONSERVÇÃO DE PAISAGISMO DE PARQUES, PRAÇAS E ÁREAS VERDES DA CIDADE DO RECIFE. 15.002149/2023-69</v>
          </cell>
          <cell r="G62" t="str">
            <v>08.963.533/0001-80</v>
          </cell>
          <cell r="H62" t="str">
            <v>FAR COMERCIO E SERVIÇOS PAISAGISTICOS LTDA</v>
          </cell>
          <cell r="I62" t="str">
            <v>6-047/23</v>
          </cell>
          <cell r="J62">
            <v>0</v>
          </cell>
          <cell r="K62">
            <v>365</v>
          </cell>
          <cell r="L62">
            <v>29849994.719999999</v>
          </cell>
          <cell r="N62">
            <v>0</v>
          </cell>
          <cell r="O62">
            <v>0</v>
          </cell>
          <cell r="P62">
            <v>0</v>
          </cell>
          <cell r="Q62" t="str">
            <v>3.3.90.39</v>
          </cell>
          <cell r="R62">
            <v>0</v>
          </cell>
          <cell r="T62">
            <v>0</v>
          </cell>
          <cell r="U62">
            <v>0</v>
          </cell>
          <cell r="V62" t="str">
            <v>em elaboração</v>
          </cell>
        </row>
        <row r="63">
          <cell r="A63" t="str">
            <v>PREGÃO ELETRÔNICO Licitação: 012/2022</v>
          </cell>
          <cell r="B63" t="str">
            <v>CONTRATAÇÃO DE EMPRESA DE ENGENHARIA ESPECIALIZADA EM ILUMINAÇÃO PÚBLICA, PARA EXECUÇÃO DOS SERVIÇOS DE MANUTENÇÃO CONTÍNUA, CORRETIVA E PREVENTIVA, DO SISTEMA DE ILUMINAÇÃO PÚBLICA ESPECIAL DA CIDADE DO RECIFE, EM POSTES ACIMA DE 12 METROS DE ALTURA</v>
          </cell>
          <cell r="G63" t="str">
            <v>32.185.141/0001-12</v>
          </cell>
          <cell r="H63" t="str">
            <v>CASTRO &amp; ROCHA LTDA</v>
          </cell>
          <cell r="I63" t="str">
            <v>6-048/22</v>
          </cell>
          <cell r="J63">
            <v>44776</v>
          </cell>
          <cell r="K63">
            <v>907</v>
          </cell>
          <cell r="L63">
            <v>2538999.92</v>
          </cell>
          <cell r="N63">
            <v>0</v>
          </cell>
          <cell r="O63">
            <v>0</v>
          </cell>
          <cell r="P63">
            <v>0</v>
          </cell>
          <cell r="Q63" t="str">
            <v>3.3.90.39</v>
          </cell>
          <cell r="R63">
            <v>1314288.99</v>
          </cell>
          <cell r="T63">
            <v>155806.15999999997</v>
          </cell>
          <cell r="U63">
            <v>1314288.99</v>
          </cell>
          <cell r="V63" t="str">
            <v>andamento</v>
          </cell>
        </row>
        <row r="64">
          <cell r="A64" t="str">
            <v>CONCORRÊNCIA Licitação: 006/2023</v>
          </cell>
          <cell r="B64" t="str">
            <v>SERVIÇOS DE IMPLANTAÇÃO DA REDE DE DRENAGEM DE ÁGUAS PLUVIAIS E PAVIMENTAÇÃO DE VIAS, EM ÁREAS URBANIZADAS, NA CIDADE DO RECIFE</v>
          </cell>
          <cell r="G64" t="str">
            <v>31.661.468/0001-50</v>
          </cell>
          <cell r="H64" t="str">
            <v>CONVERGE SERVICOS DE ENGENHARIA LTDA</v>
          </cell>
          <cell r="I64" t="str">
            <v>6-048/23</v>
          </cell>
          <cell r="J64">
            <v>45147</v>
          </cell>
          <cell r="K64">
            <v>210</v>
          </cell>
          <cell r="L64">
            <v>4564632.83</v>
          </cell>
          <cell r="N64">
            <v>150</v>
          </cell>
          <cell r="O64">
            <v>325780.53999999998</v>
          </cell>
          <cell r="P64">
            <v>0</v>
          </cell>
          <cell r="Q64" t="str">
            <v>4.4.90.39</v>
          </cell>
          <cell r="R64">
            <v>3024507.45</v>
          </cell>
          <cell r="T64">
            <v>1242311.27</v>
          </cell>
          <cell r="U64">
            <v>3024507.45</v>
          </cell>
          <cell r="V64" t="str">
            <v>andamento</v>
          </cell>
        </row>
        <row r="65">
          <cell r="A65" t="str">
            <v>PREGÃO ELETRÔNICO Licitação: 001/2022</v>
          </cell>
          <cell r="B65" t="str">
            <v xml:space="preserve"> RECEBIMENTO, TRATAMENTO E DISPOSIÇÃO FINAL DE RESÍDUOS SÓLIDOS URBANOS CLASSE IIA E CLASSE IIB COLETADOS PELA EMLURB NO MUNICÍPIO DE RECIFE, NOS LOTES ABAIXO ESPECIFICADOS E SUAS RESPECTIVAS QUANTIDADES ESTIMATIVAS. LOTE I</v>
          </cell>
          <cell r="G65" t="str">
            <v>03.279.285/0027-79</v>
          </cell>
          <cell r="H65" t="str">
            <v>ORIZON MEIO AMBIENTE S.A.</v>
          </cell>
          <cell r="I65" t="str">
            <v>6-049/22</v>
          </cell>
          <cell r="J65">
            <v>44775</v>
          </cell>
          <cell r="K65">
            <v>365</v>
          </cell>
          <cell r="L65">
            <v>50446292</v>
          </cell>
          <cell r="N65">
            <v>366</v>
          </cell>
          <cell r="O65">
            <v>55333093.280000001</v>
          </cell>
          <cell r="P65">
            <v>1586090</v>
          </cell>
          <cell r="Q65" t="str">
            <v>3.3.90.39</v>
          </cell>
          <cell r="R65">
            <v>69780138.950000003</v>
          </cell>
          <cell r="T65">
            <v>7969375.1899999995</v>
          </cell>
          <cell r="U65">
            <v>65596524.620000005</v>
          </cell>
          <cell r="V65" t="str">
            <v>andamento</v>
          </cell>
        </row>
        <row r="66">
          <cell r="A66" t="str">
            <v>CONCORRÊNCIA Licitação: 002/2023</v>
          </cell>
          <cell r="B66" t="str">
            <v>CONTRATAÇÃO DE EMPRESA DE ENGENHARIA, ESPECIALIZADA EM ILUMINAÇÃO PÚBLICA, PARA REALIZARÇÃO DE SERVIÇOS DE MANUTENÇÃO E INSTALAÇÕES PROVISÓRIAS NO SISTEMA DE ILUMINAÇÃO PÚBLICA ESPECIAL DO MUNICÍPIO DO RECIFE EM POSTES COM ATÉ 12 METROS DE ALTURA</v>
          </cell>
          <cell r="G66" t="str">
            <v>32.185.141/0001-12</v>
          </cell>
          <cell r="H66" t="str">
            <v>CASTRO &amp; ROCHA LTDA</v>
          </cell>
          <cell r="I66" t="str">
            <v>6-049/23</v>
          </cell>
          <cell r="J66">
            <v>45117</v>
          </cell>
          <cell r="K66">
            <v>760</v>
          </cell>
          <cell r="L66">
            <v>7891811.4000000004</v>
          </cell>
          <cell r="N66">
            <v>0</v>
          </cell>
          <cell r="O66">
            <v>0</v>
          </cell>
          <cell r="P66">
            <v>0</v>
          </cell>
          <cell r="Q66" t="str">
            <v>3.3.90.39</v>
          </cell>
          <cell r="R66">
            <v>1581863.98</v>
          </cell>
          <cell r="T66">
            <v>627446.05000000005</v>
          </cell>
          <cell r="U66">
            <v>1581863.98</v>
          </cell>
          <cell r="V66" t="str">
            <v>andamento</v>
          </cell>
        </row>
        <row r="67">
          <cell r="A67" t="str">
            <v>PREGÃO ELETRÔNICO Licitação: 001/2022</v>
          </cell>
          <cell r="B67" t="str">
            <v>RECEBIMENTO, TRATAMENTO E DISPOSIÇÃO FINAL DE RESÍDUOS SÓLIDOS URBANOS CLASSE IIA E CLASSE IIB COLETADOS PELA EMLURB NO MUNICÍPIO DE RECIFE, NOS LOTES ABAIXO ESPECIFICADOS E SUAS RESPECTIVAS QUANTIDADES ESTIMATIVAS. LOTE II</v>
          </cell>
          <cell r="G67" t="str">
            <v>03.279.285/0027-79</v>
          </cell>
          <cell r="H67" t="str">
            <v>ORIZON MEIO AMBIENTE S.A.</v>
          </cell>
          <cell r="I67" t="str">
            <v>6-050/22</v>
          </cell>
          <cell r="J67">
            <v>44775</v>
          </cell>
          <cell r="K67">
            <v>365</v>
          </cell>
          <cell r="L67">
            <v>12552600</v>
          </cell>
          <cell r="N67">
            <v>366</v>
          </cell>
          <cell r="O67">
            <v>13828998.720000001</v>
          </cell>
          <cell r="P67">
            <v>394500</v>
          </cell>
          <cell r="Q67" t="str">
            <v>3.3.90.39</v>
          </cell>
          <cell r="R67">
            <v>16894974.98</v>
          </cell>
          <cell r="T67">
            <v>1636746.71</v>
          </cell>
          <cell r="U67">
            <v>15579965.530000001</v>
          </cell>
          <cell r="V67" t="str">
            <v>andamento</v>
          </cell>
        </row>
        <row r="68">
          <cell r="A68" t="str">
            <v>TOMADA DE PREÇOS Licitação: 003/2023</v>
          </cell>
          <cell r="B68" t="str">
            <v>EXECUÇÃO DE OBRAS DE REQUALIFICAÇÃO DA DRENAGEM E PAVIMENTAÇÃO DAS RUAS HERCÍLIO CUNHA, MONSENHOR JÚLIO MARIA E NAPOLEÃO LEUREANO, LOCALIZADAS NO BAIRRO DA MADALENA</v>
          </cell>
          <cell r="G68" t="str">
            <v>11.864.311/0001-15</v>
          </cell>
          <cell r="H68" t="str">
            <v>SBC SOCIEDADE BRASILEIRA DE CONSTRUCOES LTDA</v>
          </cell>
          <cell r="I68" t="str">
            <v>6-050/23</v>
          </cell>
          <cell r="J68">
            <v>45146</v>
          </cell>
          <cell r="K68">
            <v>210</v>
          </cell>
          <cell r="L68">
            <v>1686657.25</v>
          </cell>
          <cell r="N68">
            <v>0</v>
          </cell>
          <cell r="O68">
            <v>0</v>
          </cell>
          <cell r="P68">
            <v>0</v>
          </cell>
          <cell r="Q68" t="str">
            <v>4.4.90.39</v>
          </cell>
          <cell r="R68">
            <v>0</v>
          </cell>
          <cell r="T68">
            <v>0</v>
          </cell>
          <cell r="U68">
            <v>0</v>
          </cell>
          <cell r="V68" t="str">
            <v>cadastrado</v>
          </cell>
        </row>
        <row r="69">
          <cell r="A69" t="str">
            <v>CONCORRÊNCIA Licitação: 010/2023</v>
          </cell>
          <cell r="B69" t="str">
            <v>CONTRATAÇÃO DE EMPRESA DE ENGENHARIA PARA APOIO TÉCNICO E SUPERVISÃO DA REQUALIFICAÇÃO DE VIAS NA CIDADE DO RECIFE PE</v>
          </cell>
          <cell r="G69" t="str">
            <v>28.256.567/0001-42</v>
          </cell>
          <cell r="H69" t="str">
            <v>MODERA ENGENHARIA LTDA</v>
          </cell>
          <cell r="I69" t="str">
            <v>6-051/23</v>
          </cell>
          <cell r="J69">
            <v>45208</v>
          </cell>
          <cell r="K69">
            <v>600</v>
          </cell>
          <cell r="L69">
            <v>3397945.68</v>
          </cell>
          <cell r="N69">
            <v>0</v>
          </cell>
          <cell r="O69">
            <v>0</v>
          </cell>
          <cell r="P69">
            <v>0</v>
          </cell>
          <cell r="Q69" t="str">
            <v>4.4.90.39</v>
          </cell>
          <cell r="R69">
            <v>812420.97</v>
          </cell>
          <cell r="T69">
            <v>151944.10999999999</v>
          </cell>
          <cell r="U69">
            <v>384875.02</v>
          </cell>
          <cell r="V69" t="str">
            <v>andamento</v>
          </cell>
        </row>
        <row r="70">
          <cell r="A70" t="str">
            <v>CONCORRÊNCIA Licitação: 007/2023</v>
          </cell>
          <cell r="B70" t="str">
            <v>CONTRATAÇÃO DE EMPRESA DE ENGENHARIA PARA REALIZAÇÃO DE APOIO TÉCNICO AOS SERVIÇOS DE ILUMINAÇÃO PÚBLICA NA CIDADE DO RECIFE</v>
          </cell>
          <cell r="G70" t="str">
            <v>00.392.213/0001-06</v>
          </cell>
          <cell r="H70" t="str">
            <v>PROCESSO ENGENHARIA LTDA</v>
          </cell>
          <cell r="I70" t="str">
            <v>6-052/23</v>
          </cell>
          <cell r="J70">
            <v>45161</v>
          </cell>
          <cell r="K70">
            <v>1125</v>
          </cell>
          <cell r="L70">
            <v>10997020.199999999</v>
          </cell>
          <cell r="N70">
            <v>0</v>
          </cell>
          <cell r="O70">
            <v>0</v>
          </cell>
          <cell r="P70">
            <v>0</v>
          </cell>
          <cell r="Q70" t="str">
            <v>3.3.90.39</v>
          </cell>
          <cell r="R70">
            <v>905077.8</v>
          </cell>
          <cell r="T70">
            <v>465119.28</v>
          </cell>
          <cell r="U70">
            <v>905077.8</v>
          </cell>
          <cell r="V70" t="str">
            <v>andamento</v>
          </cell>
        </row>
        <row r="71">
          <cell r="A71" t="str">
            <v>PREGÃO ELETRÔNICO Licitação: 026/2021</v>
          </cell>
          <cell r="B71" t="str">
            <v>CONTRATAÇÃO DE EMPRESA ESPECIALIZADA EM ENGENHARIA SANITÁRIA PARA A EXECUÇÃO DOS SERVIÇOS DE COLETA E LIMPEZA URBANA NO MUNICÍPIO DO RECIFE</v>
          </cell>
          <cell r="G71" t="str">
            <v>40.884.405/0001-54</v>
          </cell>
          <cell r="H71" t="str">
            <v>LOQUIPE LOCACAO DE EQUIPAMENTOS E MAO DE OBRA LTDA</v>
          </cell>
          <cell r="I71" t="str">
            <v>6-053/21</v>
          </cell>
          <cell r="J71">
            <v>44530</v>
          </cell>
          <cell r="K71">
            <v>1920</v>
          </cell>
          <cell r="L71">
            <v>133146086.40000001</v>
          </cell>
          <cell r="N71">
            <v>0</v>
          </cell>
          <cell r="O71">
            <v>0</v>
          </cell>
          <cell r="P71">
            <v>47060134.799999997</v>
          </cell>
          <cell r="Q71" t="str">
            <v>3.3.90.39</v>
          </cell>
          <cell r="R71">
            <v>69047605.210000008</v>
          </cell>
          <cell r="T71">
            <v>6079105.1899999995</v>
          </cell>
          <cell r="U71">
            <v>65980330.079999998</v>
          </cell>
          <cell r="V71" t="str">
            <v>andamento</v>
          </cell>
        </row>
        <row r="72">
          <cell r="A72" t="str">
            <v>TOMADA DE PREÇOS Licitação: 002/2023</v>
          </cell>
          <cell r="B72" t="str">
            <v>REFORMA COM AMPLIAÇÃO PARA IMPLANTAÇÃO DO SETOR DE FISCALIZAÇÃO - STF 2 E 3, LOCALIZADA NA RUA JOUBERT CARVALHO, CASA AMARELA E A DIVISÃO DE FISCALIZAÇÃO DVF 4 E 5, LOCALIZADO NO PARQUE DO CAIARA, AV. MAURÍCIO DE NASSAU Nº 68, BAIRRO IPUTINGA, RECIFE</v>
          </cell>
          <cell r="G72" t="str">
            <v>34.071.337/0001-01</v>
          </cell>
          <cell r="H72" t="str">
            <v>FONTE SOUTO CONSTRUÇÕES EIRELI</v>
          </cell>
          <cell r="I72" t="str">
            <v>6-053/23</v>
          </cell>
          <cell r="J72">
            <v>45162</v>
          </cell>
          <cell r="K72">
            <v>210</v>
          </cell>
          <cell r="L72">
            <v>1475480.26</v>
          </cell>
          <cell r="N72">
            <v>169</v>
          </cell>
          <cell r="O72">
            <v>0</v>
          </cell>
          <cell r="P72">
            <v>0</v>
          </cell>
          <cell r="Q72" t="str">
            <v>4.4.90.39</v>
          </cell>
          <cell r="R72">
            <v>189283.40999999997</v>
          </cell>
          <cell r="T72">
            <v>56771.79</v>
          </cell>
          <cell r="U72">
            <v>83711.08</v>
          </cell>
          <cell r="V72" t="str">
            <v>andamento</v>
          </cell>
        </row>
        <row r="73">
          <cell r="A73" t="str">
            <v>CONCORRÊNCIA Licitação: 007/2022</v>
          </cell>
          <cell r="B73" t="str">
            <v>CONTRATAÇÃO DE EMPRESA DE ENGENHARIA ESPECIALIZADA EM ILUMINAÇÃO PÚBLICA, PARA FORNECIMENTO E INSTALAÇÃO DE LUMINÁRIAS RGB COM TECNOLOGIA LED E REDE ELÉTRICA, PARA ILUMINAÇÃO CÊNICA DO PARQUE DAS ESCULTURAS DE BRENNAND</v>
          </cell>
          <cell r="G73" t="str">
            <v>41.116.138/0001-38</v>
          </cell>
          <cell r="H73" t="str">
            <v>REAL ENERGY LTDA</v>
          </cell>
          <cell r="I73" t="str">
            <v>6-054/22</v>
          </cell>
          <cell r="J73">
            <v>44799</v>
          </cell>
          <cell r="K73">
            <v>390</v>
          </cell>
          <cell r="L73">
            <v>1839293.99</v>
          </cell>
          <cell r="N73">
            <v>193</v>
          </cell>
          <cell r="O73">
            <v>-99389.02</v>
          </cell>
          <cell r="P73">
            <v>0</v>
          </cell>
          <cell r="Q73" t="str">
            <v>4.4.90.39</v>
          </cell>
          <cell r="R73">
            <v>978879.47000000009</v>
          </cell>
          <cell r="T73">
            <v>149010.34999999998</v>
          </cell>
          <cell r="U73">
            <v>978879.46999999986</v>
          </cell>
          <cell r="V73" t="str">
            <v>andamento</v>
          </cell>
        </row>
        <row r="74">
          <cell r="A74" t="str">
            <v>CONCORRÊNCIA Licitação: 011/2021</v>
          </cell>
          <cell r="B74" t="str">
            <v>CONTRATAÇÃO DE SERVIÇOS DE APOIO TÉCNICO AO MONITORAMENTO DAS AÇÕES DE MANUTENÇÃO DO SISTEMA VIÁRIO DA CIDADE DO RECIFE</v>
          </cell>
          <cell r="G74" t="str">
            <v>41.075.755/0001-32</v>
          </cell>
          <cell r="H74" t="str">
            <v>NORCONSULT PROJETOS E CONSULTORIA LTDA</v>
          </cell>
          <cell r="I74" t="str">
            <v>6-055/21</v>
          </cell>
          <cell r="J74">
            <v>44531</v>
          </cell>
          <cell r="K74">
            <v>1155</v>
          </cell>
          <cell r="L74">
            <v>6729243.9000000004</v>
          </cell>
          <cell r="N74">
            <v>0</v>
          </cell>
          <cell r="O74">
            <v>804955.03</v>
          </cell>
          <cell r="P74">
            <v>-1579310.0099999998</v>
          </cell>
          <cell r="Q74" t="str">
            <v>3.3.90.39</v>
          </cell>
          <cell r="R74">
            <v>3246059.94</v>
          </cell>
          <cell r="T74">
            <v>396929.85000000003</v>
          </cell>
          <cell r="U74">
            <v>3053667.74</v>
          </cell>
          <cell r="V74" t="str">
            <v>andamento</v>
          </cell>
        </row>
        <row r="75">
          <cell r="A75" t="str">
            <v>CONCORRÊNCIA Licitação: 014/2023</v>
          </cell>
          <cell r="B75" t="str">
            <v>SERVIÇOS DE RECUPERAÇÃO DE PASSEIOS COM IMPLANTAÇÃO DE ACESSIBILIDADE EM VÁRIAS VIAS LOCAIS DE RECIFE</v>
          </cell>
          <cell r="G75" t="str">
            <v>03.608.944/0001-34</v>
          </cell>
          <cell r="H75" t="str">
            <v>JEPAC CONSTRUCOES LTDA</v>
          </cell>
          <cell r="I75" t="str">
            <v>6-055/23</v>
          </cell>
          <cell r="J75">
            <v>45168</v>
          </cell>
          <cell r="K75">
            <v>790</v>
          </cell>
          <cell r="L75">
            <v>8074090.1799999997</v>
          </cell>
          <cell r="N75">
            <v>0</v>
          </cell>
          <cell r="O75">
            <v>0</v>
          </cell>
          <cell r="P75">
            <v>0</v>
          </cell>
          <cell r="Q75" t="str">
            <v>3.3.90.39</v>
          </cell>
          <cell r="R75">
            <v>2205422.86</v>
          </cell>
          <cell r="T75">
            <v>0</v>
          </cell>
          <cell r="U75">
            <v>1699924.82</v>
          </cell>
          <cell r="V75" t="str">
            <v>andamento</v>
          </cell>
        </row>
        <row r="76">
          <cell r="A76" t="str">
            <v>CONCORRÊNCIA Licitação: 014/2022</v>
          </cell>
          <cell r="B76" t="str">
            <v>SERVIÇOS DE MANUTENÇÃO DO SISTEMA DA MICRODRENAGEM DE ÁGUAS PLUVIAIS DAS RPA'S 4, 5 E 6 DA CIDADE DO RECIFE. LOTE I</v>
          </cell>
          <cell r="G76" t="str">
            <v>40.884.405/0001-54</v>
          </cell>
          <cell r="H76" t="str">
            <v>LOQUIPE LOCACAO DE EQUIPAMENTOS E MAO DE OBRA LTDA</v>
          </cell>
          <cell r="I76" t="str">
            <v>6-056/22</v>
          </cell>
          <cell r="J76">
            <v>44802</v>
          </cell>
          <cell r="K76">
            <v>1155</v>
          </cell>
          <cell r="L76">
            <v>34378587.229999997</v>
          </cell>
          <cell r="N76">
            <v>0</v>
          </cell>
          <cell r="O76">
            <v>7280128.7200000007</v>
          </cell>
          <cell r="P76">
            <v>0</v>
          </cell>
          <cell r="Q76" t="str">
            <v>3.3.90.39</v>
          </cell>
          <cell r="R76">
            <v>16953787.32</v>
          </cell>
          <cell r="T76">
            <v>1756895.46</v>
          </cell>
          <cell r="U76">
            <v>16319670.149999999</v>
          </cell>
          <cell r="V76" t="str">
            <v>andamento</v>
          </cell>
        </row>
        <row r="77">
          <cell r="A77" t="str">
            <v>PREGÃO ELETRÔNICO Licitação: 007/2023</v>
          </cell>
          <cell r="B77" t="str">
            <v xml:space="preserve"> FORNECIMENTO E INSTALAÇÃO DE ALAMBRADOS E PISO FULGET, VISANDO ATENDER AS DEMANDAS DE PRAÇAS, PARQUES E ÁREAS VERDES NA CIDADE DO RECIFE - 15.006709/2023-54</v>
          </cell>
          <cell r="G77" t="str">
            <v>08.135.535/0001-81</v>
          </cell>
          <cell r="H77" t="str">
            <v>CONSTRUTORA FJ LTDA</v>
          </cell>
          <cell r="I77" t="str">
            <v>6-056/23</v>
          </cell>
          <cell r="J77">
            <v>45175</v>
          </cell>
          <cell r="K77">
            <v>210</v>
          </cell>
          <cell r="L77">
            <v>724054.28</v>
          </cell>
          <cell r="N77">
            <v>0</v>
          </cell>
          <cell r="O77">
            <v>219997.48</v>
          </cell>
          <cell r="P77">
            <v>0</v>
          </cell>
          <cell r="Q77" t="str">
            <v>4.4.90.39</v>
          </cell>
          <cell r="R77">
            <v>723897.41</v>
          </cell>
          <cell r="T77">
            <v>0</v>
          </cell>
          <cell r="U77">
            <v>723897.41</v>
          </cell>
          <cell r="V77" t="str">
            <v>andamento</v>
          </cell>
        </row>
        <row r="78">
          <cell r="A78" t="str">
            <v>Pregão Eletrônico Licitação: 032/2021</v>
          </cell>
          <cell r="B78" t="str">
            <v>CONTRATAÇÃO DE EMPRESA ESPECIALIZADA NA PRESTAÇÃO DE SERVIÇOS CONTÍNUOS DE PAISAGISMO E CONSERVAÇÃO PREVENTIVA E CORRETIVA DE PARQUES, PRAÇAS, JARDINS E ÁREAS VERDES PÚBLICOS NA CIDADE DO RECIFE - LOTE 02</v>
          </cell>
          <cell r="G78" t="str">
            <v>08.963.533/0001-80</v>
          </cell>
          <cell r="H78" t="str">
            <v>FAR COMERCIO E SERVIÇOS PAISAGISTICOS LTDA</v>
          </cell>
          <cell r="I78" t="str">
            <v>6-057/21</v>
          </cell>
          <cell r="J78">
            <v>44532</v>
          </cell>
          <cell r="K78">
            <v>760</v>
          </cell>
          <cell r="L78">
            <v>3380477.52</v>
          </cell>
          <cell r="N78">
            <v>0</v>
          </cell>
          <cell r="O78">
            <v>255909.3</v>
          </cell>
          <cell r="P78">
            <v>493400.13</v>
          </cell>
          <cell r="Q78" t="str">
            <v>3.3.90.39</v>
          </cell>
          <cell r="R78">
            <v>4003157.15</v>
          </cell>
          <cell r="T78">
            <v>0</v>
          </cell>
          <cell r="U78">
            <v>4003157.15</v>
          </cell>
          <cell r="V78" t="str">
            <v>encerrado</v>
          </cell>
        </row>
        <row r="79">
          <cell r="A79" t="str">
            <v>CONCORRÊNCIA Licitação: 014/2022</v>
          </cell>
          <cell r="B79" t="str">
            <v>SERVIÇOS DE MANUTENÇÃO DO SISTEMA DA MICRODRENAGEM DE ÁGUAS PLUVIAIS DAS RPA'S 4, 5 E 6 DA CIDADE DO RECIFE. LOTE II</v>
          </cell>
          <cell r="G79" t="str">
            <v>10.811.370/0001-62</v>
          </cell>
          <cell r="H79" t="str">
            <v>GUERRA CONSTRUCOES LTDA</v>
          </cell>
          <cell r="I79" t="str">
            <v>6-057/22</v>
          </cell>
          <cell r="J79">
            <v>44802</v>
          </cell>
          <cell r="K79">
            <v>1155</v>
          </cell>
          <cell r="L79">
            <v>35796096.350000001</v>
          </cell>
          <cell r="N79">
            <v>0</v>
          </cell>
          <cell r="O79">
            <v>2858230.55</v>
          </cell>
          <cell r="P79">
            <v>1137362.01</v>
          </cell>
          <cell r="Q79" t="str">
            <v>3.3.90.39</v>
          </cell>
          <cell r="R79">
            <v>17038750.699999999</v>
          </cell>
          <cell r="T79">
            <v>2360806.04</v>
          </cell>
          <cell r="U79">
            <v>16034576.989999998</v>
          </cell>
          <cell r="V79" t="str">
            <v>andamento</v>
          </cell>
        </row>
        <row r="80">
          <cell r="A80" t="str">
            <v>CONCORRÊNCIA Licitação: 027/2022</v>
          </cell>
          <cell r="B80" t="str">
            <v>FORNECIMENTO E INSTALAÇÃO DE LUMINÁRIAS COM TECNOLOGIA LED E REDE ELÉTRICA PARA ILUMINAÇÃO PEDONAL DO POLÍGONO VIÁRIO DA ZONA NORTE DO MUNICÍPIO DO RECIFE PE</v>
          </cell>
          <cell r="G80" t="str">
            <v>03.834.750/0001-57</v>
          </cell>
          <cell r="H80" t="str">
            <v>EIP SERVICOS DE ILUMINACAO LTDA</v>
          </cell>
          <cell r="I80" t="str">
            <v>6-057/23</v>
          </cell>
          <cell r="J80">
            <v>0</v>
          </cell>
          <cell r="K80">
            <v>760</v>
          </cell>
          <cell r="L80">
            <v>31856865.379999999</v>
          </cell>
          <cell r="N80">
            <v>0</v>
          </cell>
          <cell r="O80">
            <v>0</v>
          </cell>
          <cell r="P80">
            <v>0</v>
          </cell>
          <cell r="Q80" t="str">
            <v>4.4.90.39</v>
          </cell>
          <cell r="R80">
            <v>0</v>
          </cell>
          <cell r="T80">
            <v>0</v>
          </cell>
          <cell r="U80">
            <v>0</v>
          </cell>
          <cell r="V80" t="str">
            <v>Cancelado</v>
          </cell>
        </row>
        <row r="81">
          <cell r="A81" t="str">
            <v>CONCORRÊNCIA Licitação: 015/2021</v>
          </cell>
          <cell r="B81" t="str">
            <v>MONITORAMENTO DAS AÇÕES DE LIMPEZA URBANA E ATIVIDADES DE LOGÍSTICA DO TRANSPORTE DE RESÍDUOS DA CONSTRUÇÃO CIVIL DA CIDADE DO RECIFE, MEDIANTE SUPORTE A IMPLANTAÇÃO E OPERAÇÃO DE UMA CENTRAL DE CONTROLE OPERACIONAL</v>
          </cell>
          <cell r="G81" t="str">
            <v>12.285.441/0001-66</v>
          </cell>
          <cell r="H81" t="str">
            <v>TPF ENGENHARIA LTDA</v>
          </cell>
          <cell r="I81" t="str">
            <v>6-058/21</v>
          </cell>
          <cell r="J81">
            <v>44531</v>
          </cell>
          <cell r="K81">
            <v>1890</v>
          </cell>
          <cell r="L81">
            <v>39551349</v>
          </cell>
          <cell r="N81">
            <v>0</v>
          </cell>
          <cell r="O81">
            <v>3269757.48</v>
          </cell>
          <cell r="P81">
            <v>4804576.8000000007</v>
          </cell>
          <cell r="Q81" t="str">
            <v>3.3.90.39</v>
          </cell>
          <cell r="R81">
            <v>17772213.170000002</v>
          </cell>
          <cell r="T81">
            <v>2132791.25</v>
          </cell>
          <cell r="U81">
            <v>17032947.740000002</v>
          </cell>
          <cell r="V81" t="str">
            <v>andamento</v>
          </cell>
        </row>
        <row r="82">
          <cell r="A82" t="str">
            <v>CONCORRÊNCIA Licitação: 013/2022</v>
          </cell>
          <cell r="B82" t="str">
            <v>REQUALIFICAÇÃO DE DRENAGEM E PAVIMENTAÇÃO DAS RUAS CASTRO ALVES, ENGENHEIRO LUIZ VAUTHIER, RUA DA CORAGEM, RUA PROFESSOR MIRANDA CURIÓ E RUA DONA JULIETA, LOCALIZADAS NO BAIRRO DA ENCRUZILHADA</v>
          </cell>
          <cell r="G82" t="str">
            <v>11.481.173/0001-95</v>
          </cell>
          <cell r="H82" t="str">
            <v>ETNA ENGENHARIA E TERRAPLANAGEM NACIONAL LTDA</v>
          </cell>
          <cell r="I82" t="str">
            <v>6-058/22</v>
          </cell>
          <cell r="J82">
            <v>44812</v>
          </cell>
          <cell r="K82">
            <v>270</v>
          </cell>
          <cell r="L82">
            <v>3825898.74</v>
          </cell>
          <cell r="N82">
            <v>410</v>
          </cell>
          <cell r="O82">
            <v>794456.99</v>
          </cell>
          <cell r="P82">
            <v>0</v>
          </cell>
          <cell r="Q82" t="str">
            <v>4.4.90.39</v>
          </cell>
          <cell r="R82">
            <v>2634342.35</v>
          </cell>
          <cell r="T82">
            <v>627597.98</v>
          </cell>
          <cell r="U82">
            <v>2634342.35</v>
          </cell>
          <cell r="V82" t="str">
            <v>andamento</v>
          </cell>
        </row>
        <row r="83">
          <cell r="A83" t="str">
            <v>CONCORRÊNCIA Licitação: 011/2023</v>
          </cell>
          <cell r="B83" t="str">
            <v>EXECUÇÃO DA MANUTENÇÃO PREVENTIVA E CORRETIVA DO SISTEMA DE ILUMINAÇÃO CÊNICA DA CIDADE DO RECIFE</v>
          </cell>
          <cell r="G83" t="str">
            <v>03.834.750/0001-57</v>
          </cell>
          <cell r="H83" t="str">
            <v>EIP SERVICOS DE ILUMINACAO LTDA</v>
          </cell>
          <cell r="I83" t="str">
            <v>6-058/23</v>
          </cell>
          <cell r="J83">
            <v>45195</v>
          </cell>
          <cell r="K83">
            <v>1125</v>
          </cell>
          <cell r="L83">
            <v>14363565.119999999</v>
          </cell>
          <cell r="N83">
            <v>0</v>
          </cell>
          <cell r="O83">
            <v>0</v>
          </cell>
          <cell r="P83">
            <v>0</v>
          </cell>
          <cell r="Q83" t="str">
            <v>3.3.90.39</v>
          </cell>
          <cell r="R83">
            <v>93619.16</v>
          </cell>
          <cell r="T83">
            <v>93619.16</v>
          </cell>
          <cell r="U83">
            <v>93619.16</v>
          </cell>
          <cell r="V83" t="str">
            <v>andamento</v>
          </cell>
        </row>
        <row r="84">
          <cell r="A84" t="str">
            <v>CONCORRÊNCIA Licitação: 012/2022</v>
          </cell>
          <cell r="B84" t="str">
            <v>REQUALIFICAÇÃO DA DRENAGEM E PAVIMENTAÇÃO DA RUA IMPERIAL E DA DRENAGEM DA AV. SUL, TRECHO COMPREENDIDO ENTRE A TRAVESSA DO GASPAR E AV. DANTAS BARRETO, BAIRRO DE SÃO JOSÉ</v>
          </cell>
          <cell r="G84" t="str">
            <v>11.481.173/0001-95</v>
          </cell>
          <cell r="H84" t="str">
            <v>ETNA ENGENHARIA E TERRAPLANAGEM NACIONAL LTDA</v>
          </cell>
          <cell r="I84" t="str">
            <v>6-059/22</v>
          </cell>
          <cell r="J84">
            <v>44803</v>
          </cell>
          <cell r="K84">
            <v>270</v>
          </cell>
          <cell r="L84">
            <v>8106707.0800000001</v>
          </cell>
          <cell r="N84">
            <v>460</v>
          </cell>
          <cell r="O84">
            <v>1255236.83</v>
          </cell>
          <cell r="P84">
            <v>0</v>
          </cell>
          <cell r="Q84" t="str">
            <v>4.4.90.39</v>
          </cell>
          <cell r="R84">
            <v>3540032.88</v>
          </cell>
          <cell r="T84">
            <v>556787.25</v>
          </cell>
          <cell r="U84">
            <v>3540032.88</v>
          </cell>
          <cell r="V84" t="str">
            <v>andamento</v>
          </cell>
        </row>
        <row r="85">
          <cell r="A85" t="str">
            <v>CREDENCIAMENTO Licitação: 001/2023</v>
          </cell>
          <cell r="B85" t="str">
            <v xml:space="preserve"> RECOLHIMENTO, TRANSPORTE, TRATAMENTO E DISPOSIÇÃO FINAL AMBIENTALMENTE CORRETA DE RESÍDUOS LÍQUIDOS (LIXIVIADO) ORIUNDOS DO ATERRO DESATIVADO DA MURIBECA SOB A RESPONSABILIDADE DA EMLURB. (CREDENCIAMENTO 001/23)</v>
          </cell>
          <cell r="G85" t="str">
            <v>03.279.285/0027-79</v>
          </cell>
          <cell r="H85" t="str">
            <v>ORIZON MEIO AMBIENTE S.A.</v>
          </cell>
          <cell r="I85" t="str">
            <v>6-059/23</v>
          </cell>
          <cell r="J85">
            <v>45181</v>
          </cell>
          <cell r="K85">
            <v>365</v>
          </cell>
          <cell r="L85">
            <v>3408645</v>
          </cell>
          <cell r="N85">
            <v>0</v>
          </cell>
          <cell r="O85">
            <v>0</v>
          </cell>
          <cell r="P85">
            <v>0</v>
          </cell>
          <cell r="Q85" t="str">
            <v>3.3.90.39</v>
          </cell>
          <cell r="R85">
            <v>1021869.53</v>
          </cell>
          <cell r="T85">
            <v>233627.91999999998</v>
          </cell>
          <cell r="U85">
            <v>926005.15999999992</v>
          </cell>
          <cell r="V85" t="str">
            <v>andamento</v>
          </cell>
        </row>
        <row r="86">
          <cell r="A86" t="str">
            <v>TOMADA DE PREÇOS Licitação: 007/2021</v>
          </cell>
          <cell r="B86" t="str">
            <v>CONTRATAÇÃO DE EMPRESA ESPECIALIZADA NO RAMO DE ENGENHARIA PARA EXECUÇÃO DOS SERVIÇOS DE IMPLANTAÇÃO DE PAVIMENTAÇÃO, DRENAGEM, ACESSIBILIDADE E SINALIZAÇÃO DAS RUAS BENJAMIN FONSECA - LOTE 1.  JOSÉ MOLITERNO - LOTE 2, SITUADAS NA CIDADE DO RECIFE</v>
          </cell>
          <cell r="G86" t="str">
            <v>05.625.079/0001-60</v>
          </cell>
          <cell r="H86" t="str">
            <v xml:space="preserve">CONSTRUTORA MARDIFI LTDA - EPP </v>
          </cell>
          <cell r="I86" t="str">
            <v>6-060/21</v>
          </cell>
          <cell r="J86">
            <v>44603</v>
          </cell>
          <cell r="K86">
            <v>150</v>
          </cell>
          <cell r="L86">
            <v>193107.81</v>
          </cell>
          <cell r="N86">
            <v>570</v>
          </cell>
          <cell r="O86">
            <v>0</v>
          </cell>
          <cell r="P86">
            <v>0</v>
          </cell>
          <cell r="Q86" t="str">
            <v>4.4.90.39</v>
          </cell>
          <cell r="R86">
            <v>189707.78</v>
          </cell>
          <cell r="T86">
            <v>0</v>
          </cell>
          <cell r="U86">
            <v>189707.95</v>
          </cell>
          <cell r="V86" t="str">
            <v>encerrado</v>
          </cell>
        </row>
        <row r="87">
          <cell r="A87" t="str">
            <v>CONCORRÊNCIA Licitação: 011/2022</v>
          </cell>
          <cell r="B87" t="str">
            <v>REQUALIFICAÇÃO DA DRENAGEM E PAVIMENTAÇÃO DA RUA DA CONCÓRDIA, TRECHO COMPREENDIDO ENTRE A RUA MUNIZ E RUA FREI CANECA, BAIRRO DE SÃO JOSÉ</v>
          </cell>
          <cell r="G87" t="str">
            <v>10.811.370/0001-62</v>
          </cell>
          <cell r="H87" t="str">
            <v>GUERRA CONSTRUCOES LTDA</v>
          </cell>
          <cell r="I87" t="str">
            <v>6-060/22</v>
          </cell>
          <cell r="J87">
            <v>44817</v>
          </cell>
          <cell r="K87">
            <v>240</v>
          </cell>
          <cell r="L87">
            <v>4111668.75</v>
          </cell>
          <cell r="N87">
            <v>342</v>
          </cell>
          <cell r="O87">
            <v>1015406.67</v>
          </cell>
          <cell r="P87">
            <v>0</v>
          </cell>
          <cell r="Q87" t="str">
            <v>4.4.90.39</v>
          </cell>
          <cell r="R87">
            <v>4590665.75</v>
          </cell>
          <cell r="T87">
            <v>0</v>
          </cell>
          <cell r="U87">
            <v>4590665.75</v>
          </cell>
        </row>
        <row r="88">
          <cell r="A88" t="str">
            <v>CONCORRÊNCIA Licitação: 012/2023</v>
          </cell>
          <cell r="B88" t="str">
            <v>FORNECIMENTO E INSTALAÇÃO DE LUMINÁRIAS COM TECNOLOGIA LED E REDE ELÉTRICA, PARA ILUMINAÇÃO PEDONAL DO POLÍGONO VIÁRIO DOS POLOS EDUCACIONAIS DO MUNICÍPIO DO RECIFE PE</v>
          </cell>
          <cell r="G88" t="str">
            <v>03.834.750/0001-57</v>
          </cell>
          <cell r="H88" t="str">
            <v>EIP SERVICOS DE ILUMINACAO LTDA</v>
          </cell>
          <cell r="I88" t="str">
            <v>6-060/23</v>
          </cell>
          <cell r="J88">
            <v>45195</v>
          </cell>
          <cell r="K88">
            <v>395</v>
          </cell>
          <cell r="L88">
            <v>16758709.029999999</v>
          </cell>
          <cell r="N88">
            <v>0</v>
          </cell>
          <cell r="O88">
            <v>0</v>
          </cell>
          <cell r="P88">
            <v>0</v>
          </cell>
          <cell r="Q88" t="str">
            <v>4.4.90.39</v>
          </cell>
          <cell r="R88">
            <v>3298241.9000000004</v>
          </cell>
          <cell r="T88">
            <v>1658890.41</v>
          </cell>
          <cell r="U88">
            <v>2670767.8199999998</v>
          </cell>
          <cell r="V88" t="str">
            <v>andamento</v>
          </cell>
        </row>
        <row r="89">
          <cell r="A89" t="str">
            <v>TOMADA DE PREÇOS Licitação: 007/2021</v>
          </cell>
          <cell r="B89" t="str">
            <v>CONTRATAÇÃO DE EMPRESA ESPECIALIZADA NO RAMO DE ENGENHARIA PARA EXECUÇÃO DOS SERVIÇOS DE IMPLANTAÇÃO DE PAVIMENTAÇÃO, DRENAGEM, ACESSIBILIDADE E SINALIZAÇÃO DAS RUAS BENJAMIN FONSECA - LOTE 1.  JOSÉ MOLITERNO - LOTE 2, SITUADAS NA CIDADE DO RECIFE</v>
          </cell>
          <cell r="G89" t="str">
            <v>05.625.079/0001-60</v>
          </cell>
          <cell r="H89" t="str">
            <v xml:space="preserve">CONSTRUTORA MARDIFI LTDA - EPP </v>
          </cell>
          <cell r="I89" t="str">
            <v>6-061/21</v>
          </cell>
          <cell r="J89">
            <v>44603</v>
          </cell>
          <cell r="K89">
            <v>150</v>
          </cell>
          <cell r="L89">
            <v>119800.38</v>
          </cell>
          <cell r="N89">
            <v>510</v>
          </cell>
          <cell r="O89">
            <v>0</v>
          </cell>
          <cell r="P89">
            <v>-48.25</v>
          </cell>
          <cell r="Q89" t="str">
            <v>4.4.90.39</v>
          </cell>
          <cell r="R89">
            <v>0</v>
          </cell>
          <cell r="T89">
            <v>0</v>
          </cell>
          <cell r="U89">
            <v>0</v>
          </cell>
          <cell r="V89" t="str">
            <v>andamento</v>
          </cell>
        </row>
        <row r="90">
          <cell r="A90" t="str">
            <v>PREGÃO ELETRÔNICO Licitação: 013/2023</v>
          </cell>
          <cell r="B90" t="str">
            <v>CONTRATAÇÃO DE EMPRESA ESPECIALIZADA PARA EXECUÇÃO DE SERVIÇOS DE IMPLANTAÇÃO, MANUTENÇÃO E CONSERVAÇÃO DE PAISAGISMO DE PARQUES, PRAÇAS E ÁREAS VERDES NA CIDADE DO RECIFE  (15.007716/2023-73)</v>
          </cell>
          <cell r="G90" t="str">
            <v>08.963.533/0001-80</v>
          </cell>
          <cell r="H90" t="str">
            <v>FAR COMERCIO E SERVIÇOS PAISAGISTICOS LTDA</v>
          </cell>
          <cell r="I90" t="str">
            <v>6-061/23</v>
          </cell>
          <cell r="J90">
            <v>45188</v>
          </cell>
          <cell r="K90">
            <v>365</v>
          </cell>
          <cell r="L90">
            <v>1751620.41</v>
          </cell>
          <cell r="N90">
            <v>0</v>
          </cell>
          <cell r="O90">
            <v>432166.6</v>
          </cell>
          <cell r="P90">
            <v>0</v>
          </cell>
          <cell r="Q90" t="str">
            <v>3.3.90.39</v>
          </cell>
          <cell r="R90">
            <v>1932960.53</v>
          </cell>
          <cell r="T90">
            <v>483157.33</v>
          </cell>
          <cell r="U90">
            <v>1913354.96</v>
          </cell>
          <cell r="V90" t="str">
            <v>andamento</v>
          </cell>
        </row>
        <row r="91">
          <cell r="A91" t="str">
            <v>CONCORRÊNCIA Licitação: 016/2023</v>
          </cell>
          <cell r="B91" t="str">
            <v>SERVIÇOS DE IMPLANTAÇÃO DA REDE DE DRENAGEM DE ÁGUAS PLUVIAIS E PAVIMENTAÇÃO DE VIAS, EM ÁREAS URBANAS, NA CIDADE DO RECIFE</v>
          </cell>
          <cell r="G91" t="str">
            <v>02.724.778/0001-79</v>
          </cell>
          <cell r="H91" t="str">
            <v>UNITERRA - UNIAO TERRAPLENAGEM E CONSTRUCOES LTDA</v>
          </cell>
          <cell r="I91" t="str">
            <v>6-062/23</v>
          </cell>
          <cell r="J91">
            <v>45208</v>
          </cell>
          <cell r="K91">
            <v>210</v>
          </cell>
          <cell r="L91">
            <v>6493788</v>
          </cell>
          <cell r="N91">
            <v>0</v>
          </cell>
          <cell r="O91">
            <v>0</v>
          </cell>
          <cell r="P91">
            <v>0</v>
          </cell>
          <cell r="Q91" t="str">
            <v>4.4.90.39</v>
          </cell>
          <cell r="R91">
            <v>3960298.34</v>
          </cell>
          <cell r="T91">
            <v>1684744.49</v>
          </cell>
          <cell r="U91">
            <v>3960298.34</v>
          </cell>
          <cell r="V91" t="str">
            <v>andamento</v>
          </cell>
        </row>
        <row r="92">
          <cell r="A92" t="str">
            <v>CONCORRÊNCIA Licitação: 016/2021</v>
          </cell>
          <cell r="B92" t="str">
            <v>SERVIÇOS DE RECUPERAÇÃO ESTRUTURAL DA PONTE RODOVIÁRIA, DENOMINADA ANTIGA PONTE GIRATÓRIA, QUE LIGA O BAIRRO DE SÃO JOSÉ AO BAIRRO DO RECIFE NA CIDADE DO RECIFE - PE</v>
          </cell>
          <cell r="G92" t="str">
            <v>00.507.949/0001-82</v>
          </cell>
          <cell r="H92" t="str">
            <v>JATOBETON ENGENHARIA LTDA</v>
          </cell>
          <cell r="I92" t="str">
            <v>6-063/21</v>
          </cell>
          <cell r="J92">
            <v>44615</v>
          </cell>
          <cell r="K92">
            <v>645</v>
          </cell>
          <cell r="L92">
            <v>9469419.6300000008</v>
          </cell>
          <cell r="N92">
            <v>70</v>
          </cell>
          <cell r="O92">
            <v>2995457.54</v>
          </cell>
          <cell r="P92">
            <v>41719.01999999996</v>
          </cell>
          <cell r="Q92" t="str">
            <v>4.4.90.39</v>
          </cell>
          <cell r="R92">
            <v>8577383.2599999998</v>
          </cell>
          <cell r="T92">
            <v>0</v>
          </cell>
          <cell r="U92">
            <v>8577383.2599999998</v>
          </cell>
          <cell r="V92" t="str">
            <v>andamento</v>
          </cell>
        </row>
        <row r="93">
          <cell r="A93" t="str">
            <v>CONCORRÊNCIA / Nº 013/2021</v>
          </cell>
          <cell r="B93" t="str">
            <v>CONTRATAÇÃO DE EMPRESA DE PRODUÇÃO DE ARTES E ILUMINAÇÃO CÊNICA PARA EXECUÇÃO DOS SERVIÇOS DE VÍDEO MAPPING E PROJEÇÃO HOLOGRÁFICA EM CORTINA D`ÁGUA NO RIO CAPIBARIBE</v>
          </cell>
          <cell r="G93" t="str">
            <v>20.165.281/0001-40</v>
          </cell>
          <cell r="H93" t="str">
            <v>TNP PRODUCOES DE EVENTOS LTDA</v>
          </cell>
          <cell r="I93" t="str">
            <v>6-064/21</v>
          </cell>
          <cell r="J93">
            <v>44559</v>
          </cell>
          <cell r="K93">
            <v>760</v>
          </cell>
          <cell r="L93">
            <v>2227129.66</v>
          </cell>
          <cell r="N93">
            <v>61</v>
          </cell>
          <cell r="O93">
            <v>426390.81</v>
          </cell>
          <cell r="P93">
            <v>0</v>
          </cell>
          <cell r="Q93" t="str">
            <v>4.4.90.39</v>
          </cell>
          <cell r="R93">
            <v>2511665.41</v>
          </cell>
          <cell r="T93">
            <v>117495.32999999999</v>
          </cell>
          <cell r="U93">
            <v>2511665.41</v>
          </cell>
          <cell r="V93" t="str">
            <v>encerrado</v>
          </cell>
        </row>
        <row r="94">
          <cell r="A94" t="str">
            <v>CONCORRÊNCIA Licitação: 001/2021</v>
          </cell>
          <cell r="B94" t="str">
            <v>CONTRATAÇÃO DE EMPRESA SANITÁRIA ESPECIALIZADA PARA A EXECUÇÃO DOS SERVIÇOS DE COLETA E LIMPEZA URBANA NO MUNICÍPIO DO RECIFE. LOTE 1</v>
          </cell>
          <cell r="G94" t="str">
            <v>45.791.369/0001-06</v>
          </cell>
          <cell r="H94" t="str">
            <v>Consórcio Recife Ambiental</v>
          </cell>
          <cell r="I94" t="str">
            <v>6-064/22</v>
          </cell>
          <cell r="J94">
            <v>44649</v>
          </cell>
          <cell r="K94">
            <v>1825</v>
          </cell>
          <cell r="L94">
            <v>330511059.97000003</v>
          </cell>
          <cell r="N94">
            <v>0</v>
          </cell>
          <cell r="O94">
            <v>0</v>
          </cell>
          <cell r="P94">
            <v>47369654.519999996</v>
          </cell>
          <cell r="Q94" t="str">
            <v>3.3.90.39</v>
          </cell>
          <cell r="R94">
            <v>89299876.010000005</v>
          </cell>
          <cell r="T94">
            <v>21921221.400000002</v>
          </cell>
          <cell r="U94">
            <v>89299876.01000002</v>
          </cell>
          <cell r="V94" t="str">
            <v>andamento</v>
          </cell>
        </row>
        <row r="95">
          <cell r="A95" t="str">
            <v>CONCORRÊNCIA Licitação: 013/2023</v>
          </cell>
          <cell r="B95" t="str">
            <v>CONTRATAÇÃO DE EMPRESA DE ENGENHARIA, ESPECIALIZADA EM ILUMINAÇÃO PÚBLICA, PARA FORNECIMENTO E INSTALAÇÃO DE LUMINÁRIAS COM TECNOLOGIA LED E REDE ELÉTRICA, PARA ILUMINAÇÃO PEDONAL DO POLÍGONO VIÁRIO DA ZONA SUL DO MUNICÍPIO DE RECIFE PE</v>
          </cell>
          <cell r="G95" t="str">
            <v>03.834.750/0001-57</v>
          </cell>
          <cell r="H95" t="str">
            <v>EIP SERVICOS DE ILUMINACAO LTDA</v>
          </cell>
          <cell r="I95" t="str">
            <v>6-064/23</v>
          </cell>
          <cell r="J95">
            <v>45202</v>
          </cell>
          <cell r="K95">
            <v>395</v>
          </cell>
          <cell r="L95">
            <v>20882563.460000001</v>
          </cell>
          <cell r="N95">
            <v>0</v>
          </cell>
          <cell r="O95">
            <v>0</v>
          </cell>
          <cell r="P95">
            <v>0</v>
          </cell>
          <cell r="Q95" t="str">
            <v>4.4.90.39</v>
          </cell>
          <cell r="R95">
            <v>3328144.7</v>
          </cell>
          <cell r="T95">
            <v>1988956.43</v>
          </cell>
          <cell r="U95">
            <v>2583065.5</v>
          </cell>
          <cell r="V95" t="str">
            <v>andamento</v>
          </cell>
        </row>
        <row r="96">
          <cell r="A96" t="str">
            <v>CONCORRÊNCIA Licitação: 001/2021</v>
          </cell>
          <cell r="B96" t="str">
            <v>CONTRATAÇÃO DE EMPRESA SANITÁRIA ESPECIALIZADA PARA A EXECUÇÃO DOS SERVIÇOS DE COLETA E LIMPEZA URBANA NO MUNICÍPIO DO RECIFE. LOTE 2</v>
          </cell>
          <cell r="G96" t="str">
            <v>45.791.369/0001-06</v>
          </cell>
          <cell r="H96" t="str">
            <v>Consórcio Recife Ambiental</v>
          </cell>
          <cell r="I96" t="str">
            <v>6-065/22</v>
          </cell>
          <cell r="J96">
            <v>44649</v>
          </cell>
          <cell r="K96">
            <v>1825</v>
          </cell>
          <cell r="L96">
            <v>775440867.03999996</v>
          </cell>
          <cell r="N96">
            <v>0</v>
          </cell>
          <cell r="O96">
            <v>0</v>
          </cell>
          <cell r="P96">
            <v>110171727.90000001</v>
          </cell>
          <cell r="Q96" t="str">
            <v>3.3.90.39</v>
          </cell>
          <cell r="R96">
            <v>233337026.80000001</v>
          </cell>
          <cell r="T96">
            <v>43619668.240000002</v>
          </cell>
          <cell r="U96">
            <v>233337026.80000001</v>
          </cell>
          <cell r="V96" t="str">
            <v>andamento</v>
          </cell>
        </row>
        <row r="97">
          <cell r="A97" t="str">
            <v>CONCORRÊNCIA Licitação: 017/2023</v>
          </cell>
          <cell r="B97" t="str">
            <v>SERVIÇOS DE MANUTENÇÃO PREVENTIVA DO SISTEMA DA MACRODRENAGEM DAS RPA'S 04 E 05 DA CIDADE DO RECIFE</v>
          </cell>
          <cell r="G97" t="str">
            <v>01.514.128/0001-36</v>
          </cell>
          <cell r="H97" t="str">
            <v>SCAVE SERVICOS DE ENGENHARIA E LOCACAO LTDA</v>
          </cell>
          <cell r="I97" t="str">
            <v>6-065/23</v>
          </cell>
          <cell r="J97">
            <v>45216</v>
          </cell>
          <cell r="K97">
            <v>365</v>
          </cell>
          <cell r="L97">
            <v>6315784.2300000004</v>
          </cell>
          <cell r="N97">
            <v>0</v>
          </cell>
          <cell r="O97">
            <v>0</v>
          </cell>
          <cell r="P97">
            <v>0</v>
          </cell>
          <cell r="Q97" t="str">
            <v>3.3.90.39</v>
          </cell>
          <cell r="R97">
            <v>1221158.47</v>
          </cell>
          <cell r="T97">
            <v>548883.77</v>
          </cell>
          <cell r="U97">
            <v>548883.77</v>
          </cell>
          <cell r="V97" t="str">
            <v>andamento</v>
          </cell>
        </row>
        <row r="98">
          <cell r="A98" t="str">
            <v>CONCORRÊNCIA Licitação: 018/2022</v>
          </cell>
          <cell r="B98" t="str">
            <v>CONTRATAÇÃO DE EMPRESA DE ENGENHARIA PARA PRESTAÇÃO DOS SERVIÇOS DE MANUTENÇÃO DO ENROCAMENTO DE PEDRAS DA PROTEÇÃO EXISTENTE NA ORLA DE BOA VIAGEM, RECIFE/PE</v>
          </cell>
          <cell r="G98" t="str">
            <v>70.086.111/0001-48</v>
          </cell>
          <cell r="H98" t="str">
            <v>COASTAL - CONSTRUÇÕES E SOLUÇÕES TÉCNICAS AMBIENTAIS EIRELI</v>
          </cell>
          <cell r="I98" t="str">
            <v>6-066/22</v>
          </cell>
          <cell r="J98">
            <v>44855</v>
          </cell>
          <cell r="K98">
            <v>820</v>
          </cell>
          <cell r="L98">
            <v>4513103.68</v>
          </cell>
          <cell r="N98">
            <v>0</v>
          </cell>
          <cell r="O98">
            <v>0</v>
          </cell>
          <cell r="P98">
            <v>152939.19</v>
          </cell>
          <cell r="Q98" t="str">
            <v>3.3.90.39</v>
          </cell>
          <cell r="R98">
            <v>2713752.79</v>
          </cell>
          <cell r="T98">
            <v>532499.87</v>
          </cell>
          <cell r="U98">
            <v>2687309.23</v>
          </cell>
          <cell r="V98" t="str">
            <v>andamento</v>
          </cell>
        </row>
        <row r="99">
          <cell r="A99" t="str">
            <v>Pregão Eletrônico Licitação: 007/2023</v>
          </cell>
          <cell r="B99" t="str">
            <v>FORNECER E INSTALAR ALAMBRADOS E PISO FULGET VISANDO ATENDER A DEMANDA DE MANUTENÇÃO DE PARQUES, PRAÇAS E ÁREAS VERDES NA CIDADE DO RECIFE.(SEI. 15.000896/2023-62) PREGÃO ELETRÔNICO Nº 007/2023</v>
          </cell>
          <cell r="G99" t="str">
            <v>08.135.535/0001-81</v>
          </cell>
          <cell r="H99" t="str">
            <v>CONSTRUTORA FJ LTDA</v>
          </cell>
          <cell r="I99" t="str">
            <v>6-068/23</v>
          </cell>
          <cell r="J99">
            <v>45246</v>
          </cell>
          <cell r="K99">
            <v>210</v>
          </cell>
          <cell r="L99">
            <v>3520989</v>
          </cell>
          <cell r="N99">
            <v>0</v>
          </cell>
          <cell r="O99">
            <v>785460</v>
          </cell>
          <cell r="P99">
            <v>0</v>
          </cell>
          <cell r="Q99" t="str">
            <v>4.4.90.39</v>
          </cell>
          <cell r="R99">
            <v>1945317.4400000002</v>
          </cell>
          <cell r="T99">
            <v>199997.84</v>
          </cell>
          <cell r="U99">
            <v>1874346.08</v>
          </cell>
          <cell r="V99" t="str">
            <v>andamento</v>
          </cell>
        </row>
        <row r="100">
          <cell r="A100" t="str">
            <v>CONCORRÊNCIA Licitação: 019/2022</v>
          </cell>
          <cell r="B100" t="str">
            <v>SERVIÇOS DE MANUTENÇÃO PREVENTIVA (IMPLANTANÇÃO, REQUALIFICAÇÃO E/OU RECAPEAMENTO DE VIAS) EM CONCRETO BETUMINOSO USINADO À QUENTE - CBUQ DO SISTEMA VIÁRIO DA CIDADE DO RECIFE. LOTE I - RPA 01</v>
          </cell>
          <cell r="G100" t="str">
            <v>40.882.060/0001-08</v>
          </cell>
          <cell r="H100" t="str">
            <v>LIDERMAC CONSTRUCOES E EQUIPAMENTOS LTDA</v>
          </cell>
          <cell r="I100" t="str">
            <v>6-069/22</v>
          </cell>
          <cell r="J100">
            <v>44861</v>
          </cell>
          <cell r="K100">
            <v>760</v>
          </cell>
          <cell r="L100">
            <v>35222846.310000002</v>
          </cell>
          <cell r="N100">
            <v>0</v>
          </cell>
          <cell r="O100">
            <v>2847136.5</v>
          </cell>
          <cell r="P100">
            <v>1203191.8899999999</v>
          </cell>
          <cell r="Q100" t="str">
            <v>4.4.90.39</v>
          </cell>
          <cell r="R100">
            <v>17928946.550000001</v>
          </cell>
          <cell r="T100">
            <v>1792024.17</v>
          </cell>
          <cell r="U100">
            <v>17928946.550000001</v>
          </cell>
          <cell r="V100" t="str">
            <v>andamento</v>
          </cell>
        </row>
        <row r="101">
          <cell r="A101" t="str">
            <v>CONCORRÊNCIA Licitação: 027/2022</v>
          </cell>
          <cell r="B101" t="str">
            <v>CONTRATAÇÃO DE EMPRESA DE ENGENHARIA, ESPECIALIZADA EM ILUMINAÇÃO PÚBLICA, PARA FORNECIMENTO E INSTALAÇÃO DE LUMINÁRIAS COM TECNOLOGIA LED E REDE ELÉTRICA, PARA ILUMINAÇÃO PEDONAL DO POLÍGONO VIÁRIO DA ZONA NORTE DO RECIFE</v>
          </cell>
          <cell r="G101" t="str">
            <v>01.346.561/0001-00</v>
          </cell>
          <cell r="H101" t="str">
            <v>VASCONCELOS E SANTOS LTDA</v>
          </cell>
          <cell r="I101" t="str">
            <v>6-069/23</v>
          </cell>
          <cell r="J101">
            <v>45238</v>
          </cell>
          <cell r="K101">
            <v>760</v>
          </cell>
          <cell r="L101">
            <v>29276042.73</v>
          </cell>
          <cell r="N101">
            <v>0</v>
          </cell>
          <cell r="O101">
            <v>0</v>
          </cell>
          <cell r="P101">
            <v>0</v>
          </cell>
          <cell r="Q101" t="str">
            <v>4.4.90.39</v>
          </cell>
          <cell r="R101">
            <v>302258.17</v>
          </cell>
          <cell r="T101">
            <v>302258.17</v>
          </cell>
          <cell r="U101">
            <v>302258.17</v>
          </cell>
          <cell r="V101" t="str">
            <v>andamento</v>
          </cell>
        </row>
        <row r="102">
          <cell r="A102" t="str">
            <v>CONCORRÊNCIA Licitação: 019/2022</v>
          </cell>
          <cell r="B102" t="str">
            <v>SERVIÇOS DE MANUTENÇÃO PREVENTIVA (IMPLANTANÇÃO, REQUALIFICAÇÃO E/OU RECAPEAMENTO DE VIAS) EM CONCRETO BETUMINOSO USINADO À QUENTE - CBUQ DO SISTEMA VIÁRIO DA CIDADE DO RECIFE LOTE II - RPA 02 E 03.</v>
          </cell>
          <cell r="G102" t="str">
            <v>00.999.591/0001-52</v>
          </cell>
          <cell r="H102" t="str">
            <v xml:space="preserve">AGC CONSTRUTORA E EMPREENDIMENTOS LTDA      </v>
          </cell>
          <cell r="I102" t="str">
            <v>6-070/22</v>
          </cell>
          <cell r="J102">
            <v>44861</v>
          </cell>
          <cell r="K102">
            <v>760</v>
          </cell>
          <cell r="L102">
            <v>37890417.210000001</v>
          </cell>
          <cell r="N102">
            <v>0</v>
          </cell>
          <cell r="O102">
            <v>321603.59999999998</v>
          </cell>
          <cell r="P102">
            <v>1323428.1100000001</v>
          </cell>
          <cell r="Q102" t="str">
            <v>4.4.90.39</v>
          </cell>
          <cell r="R102">
            <v>17540278.09</v>
          </cell>
          <cell r="T102">
            <v>0</v>
          </cell>
          <cell r="U102">
            <v>17540277.689999998</v>
          </cell>
          <cell r="V102" t="str">
            <v>andamento</v>
          </cell>
        </row>
        <row r="103">
          <cell r="A103" t="str">
            <v>CONCORRÊNCIA Licitação: 018/2023</v>
          </cell>
          <cell r="B103" t="str">
            <v xml:space="preserve"> IMPLANTAÇÃO DE REDE DE DRENAGEM DE ÁGUAS PLUVIAIS E PAVIMENTAÇÃO EM CBUQ DAS RUAS PROFESSOR NESTOR BEZERRA, JORNALISTA MURILO MARROQUIM, LOCALIZADAS NO BAIRRO DA VÁRZEA, RECIFE - PE E DA RA ENGENHEIRO JOSÉ BATISTA, LOCALIZADA NO BAIRRO DA CAXANGÁ</v>
          </cell>
          <cell r="G103" t="str">
            <v>31.661.468/0001-50</v>
          </cell>
          <cell r="H103" t="str">
            <v>CONVERGE SERVICOS DE ENGENHARIA LTDA</v>
          </cell>
          <cell r="I103" t="str">
            <v>6-070/23</v>
          </cell>
          <cell r="J103">
            <v>45258</v>
          </cell>
          <cell r="K103">
            <v>270</v>
          </cell>
          <cell r="L103">
            <v>4554739.29</v>
          </cell>
          <cell r="N103">
            <v>0</v>
          </cell>
          <cell r="O103">
            <v>0</v>
          </cell>
          <cell r="P103">
            <v>0</v>
          </cell>
          <cell r="Q103" t="str">
            <v>4.4.90.39</v>
          </cell>
          <cell r="R103">
            <v>898710.06</v>
          </cell>
          <cell r="T103">
            <v>823261.75999999989</v>
          </cell>
          <cell r="U103">
            <v>823261.75999999989</v>
          </cell>
          <cell r="V103" t="str">
            <v>andamento</v>
          </cell>
        </row>
        <row r="104">
          <cell r="A104" t="str">
            <v>CONCORRÊNCIA Licitação: 019/2022</v>
          </cell>
          <cell r="B104" t="str">
            <v>SERVIÇOS DE MANUTENÇÃO PREVENTIVA (IMPLANTANÇÃO, REQUALIFICAÇÃO E/OU RECAPEAMENTO DE VIAS) EM CONCRETO BETUMINOSO USINADO À QUENTE - CBUQ DO SISTEMA VIÁRIO DA CIDADE DO RECIFE. LOTE III - RPA 04 E 05</v>
          </cell>
          <cell r="G104" t="str">
            <v>23.742.620/0001-00</v>
          </cell>
          <cell r="H104" t="str">
            <v>INSTTALE ENGENHARIA LTDA</v>
          </cell>
          <cell r="I104" t="str">
            <v>6-071/22</v>
          </cell>
          <cell r="J104">
            <v>44861</v>
          </cell>
          <cell r="K104">
            <v>760</v>
          </cell>
          <cell r="L104">
            <v>52662087.729999997</v>
          </cell>
          <cell r="N104">
            <v>0</v>
          </cell>
          <cell r="O104">
            <v>5199287.4000000004</v>
          </cell>
          <cell r="P104">
            <v>0</v>
          </cell>
          <cell r="Q104" t="str">
            <v>4.4.90.39</v>
          </cell>
          <cell r="R104">
            <v>21006787.310000002</v>
          </cell>
          <cell r="T104">
            <v>0</v>
          </cell>
          <cell r="U104">
            <v>20063593.629999999</v>
          </cell>
          <cell r="V104" t="str">
            <v>andamento</v>
          </cell>
        </row>
        <row r="105">
          <cell r="A105" t="str">
            <v>TOMADA DE PREÇOS Licitação: 004/2023</v>
          </cell>
          <cell r="B105" t="str">
            <v>CONTRATAÇÃO DE EMPRESA DE ENGENHARIA CIVIL PARA IMPLANTAÇÃODE ECOESTAÇÃO NA RPA 2 - LOCALIZADO NA RUA URIEL DE HOLANDA, S/N LINHA DO TIRO E DE ECOESTAÇÃO NA RPA 3 - LOCALIZADA NA RUA DA FLORES S/N GUABIRABA - RECIFE -PE</v>
          </cell>
          <cell r="G105" t="str">
            <v>34.071.337/0001-01</v>
          </cell>
          <cell r="H105" t="str">
            <v>FONTE SOUTO CONSTRUÇÕES EIRELI</v>
          </cell>
          <cell r="I105" t="str">
            <v>6-071/23</v>
          </cell>
          <cell r="J105">
            <v>45260</v>
          </cell>
          <cell r="K105">
            <v>210</v>
          </cell>
          <cell r="L105">
            <v>1386439.44</v>
          </cell>
          <cell r="N105">
            <v>0</v>
          </cell>
          <cell r="O105">
            <v>0</v>
          </cell>
          <cell r="P105">
            <v>0</v>
          </cell>
          <cell r="Q105" t="str">
            <v>4.4.90.39</v>
          </cell>
          <cell r="R105">
            <v>61079.28</v>
          </cell>
          <cell r="T105">
            <v>61079.28</v>
          </cell>
          <cell r="U105">
            <v>61079.28</v>
          </cell>
          <cell r="V105" t="str">
            <v>andamento</v>
          </cell>
        </row>
        <row r="106">
          <cell r="A106" t="str">
            <v>CONCORRÊNCIA Licitação: 019/2022</v>
          </cell>
          <cell r="B106" t="str">
            <v>SERVIÇOS DE MANUTENÇÃO PREVENTIVA (IMPLANTANÇÃO, REQUALIFICAÇÃO E/OU RECAPEAMENTO DE VIAS) EM CONCRETO BETUMINOSO USINADO À QUENTE - CBUQ DO SISTEMA VIÁRIO DA CIDADE DO RECIFE. LOTE IV - RPA 06</v>
          </cell>
          <cell r="G106" t="str">
            <v>40.882.060/0001-08</v>
          </cell>
          <cell r="H106" t="str">
            <v>LIDERMAC CONSTRUCOES E EQUIPAMENTOS LTDA</v>
          </cell>
          <cell r="I106" t="str">
            <v>6-072/22</v>
          </cell>
          <cell r="J106">
            <v>44861</v>
          </cell>
          <cell r="K106">
            <v>760</v>
          </cell>
          <cell r="L106">
            <v>51009419.109999999</v>
          </cell>
          <cell r="N106">
            <v>0</v>
          </cell>
          <cell r="O106">
            <v>0</v>
          </cell>
          <cell r="P106">
            <v>1742220.18</v>
          </cell>
          <cell r="Q106" t="str">
            <v>4.4.90.39</v>
          </cell>
          <cell r="R106">
            <v>14779902.91</v>
          </cell>
          <cell r="T106">
            <v>46866.51</v>
          </cell>
          <cell r="U106">
            <v>14779902.910000002</v>
          </cell>
          <cell r="V106" t="str">
            <v>andamento</v>
          </cell>
        </row>
        <row r="107">
          <cell r="A107" t="str">
            <v>CONCORRÊNCIA Licitação: 020/2022</v>
          </cell>
          <cell r="B107" t="str">
            <v>SERVIÇOS DE MANUTENÇÃO CORRETIVA DE VIAS NÃO PAVIMENTADAS DO SISTEMA VIÁRIO DA CIDADE DO RECIFE/PE</v>
          </cell>
          <cell r="G107" t="str">
            <v>40.884.405/0001-54</v>
          </cell>
          <cell r="H107" t="str">
            <v>LOQUIPE LOCACAO DE EQUIPAMENTOS E MAO DE OBRA LTDA</v>
          </cell>
          <cell r="I107" t="str">
            <v>6-073/22</v>
          </cell>
          <cell r="J107">
            <v>44869</v>
          </cell>
          <cell r="K107">
            <v>790</v>
          </cell>
          <cell r="L107">
            <v>3957846.15</v>
          </cell>
          <cell r="N107">
            <v>0</v>
          </cell>
          <cell r="O107">
            <v>41386.65</v>
          </cell>
          <cell r="P107">
            <v>124052.67</v>
          </cell>
          <cell r="Q107" t="str">
            <v>3.3.90.39</v>
          </cell>
          <cell r="R107">
            <v>1715552.63</v>
          </cell>
          <cell r="T107">
            <v>277097.63</v>
          </cell>
          <cell r="U107">
            <v>1712034.81</v>
          </cell>
          <cell r="V107" t="str">
            <v>andamento</v>
          </cell>
        </row>
        <row r="108">
          <cell r="A108" t="str">
            <v>TOMADA DE PREÇOS Licitação: 006/2022</v>
          </cell>
          <cell r="B108" t="str">
            <v>SERVIÇOS DE MANUTENÇÃO PREVENTIVA E CORRETIVA EM FONTES LUMINOSAS PÚBLICAS LOCALIZADAS NA CIDADE DO RECIFE</v>
          </cell>
          <cell r="G108" t="str">
            <v>06.157.352/0001-31</v>
          </cell>
          <cell r="H108" t="str">
            <v>JAIR SOUZA DE LIMA SERVICOS E CONSTRUCOES LTDA</v>
          </cell>
          <cell r="I108" t="str">
            <v>6-074/22</v>
          </cell>
          <cell r="J108">
            <v>44896</v>
          </cell>
          <cell r="K108">
            <v>790</v>
          </cell>
          <cell r="L108">
            <v>1292921.04</v>
          </cell>
          <cell r="N108">
            <v>0</v>
          </cell>
          <cell r="O108">
            <v>198732.58</v>
          </cell>
          <cell r="P108">
            <v>0</v>
          </cell>
          <cell r="Q108" t="str">
            <v>3.3.90.39</v>
          </cell>
          <cell r="R108">
            <v>1136128.56</v>
          </cell>
          <cell r="T108">
            <v>146226.79999999999</v>
          </cell>
          <cell r="U108">
            <v>1136128.56</v>
          </cell>
          <cell r="V108" t="str">
            <v>andamento</v>
          </cell>
        </row>
        <row r="109">
          <cell r="A109" t="str">
            <v>TOMADA DE PREÇOS Licitação: 005/2023</v>
          </cell>
          <cell r="B109" t="str">
            <v>EXECUÇÃO DOS SERVIÇOS DE IMPLANTAÇÃO DA REDE DE DRENAGEM DE ÁGUAS PLUVIAIS E PAVIMENTAÇÃO DA RUA 22 DE AGOSTO - IBURA, INCLUINDO CONSTRUÇÃO DE ESCADARIA E IMPLANTAÇÃO DA PRAÇA CRIANÇADA NA RUA</v>
          </cell>
          <cell r="G109" t="str">
            <v>08.135.535/0001-81</v>
          </cell>
          <cell r="H109" t="str">
            <v>CONSTRUTORA FJ LTDA</v>
          </cell>
          <cell r="I109" t="str">
            <v>6-074/23</v>
          </cell>
          <cell r="J109">
            <v>45260</v>
          </cell>
          <cell r="K109">
            <v>180</v>
          </cell>
          <cell r="L109">
            <v>2319219.36</v>
          </cell>
          <cell r="N109">
            <v>0</v>
          </cell>
          <cell r="O109">
            <v>0</v>
          </cell>
          <cell r="P109">
            <v>0</v>
          </cell>
          <cell r="Q109" t="str">
            <v>4.4.90.39</v>
          </cell>
          <cell r="R109">
            <v>1199595.3399999999</v>
          </cell>
          <cell r="T109">
            <v>1066168.1399999999</v>
          </cell>
          <cell r="U109">
            <v>1199595.3399999999</v>
          </cell>
          <cell r="V109" t="str">
            <v>andamento</v>
          </cell>
        </row>
        <row r="110">
          <cell r="A110" t="str">
            <v>CONCORRÊNCIA Licitação: 008/2022</v>
          </cell>
          <cell r="B110" t="str">
            <v>SERVIÇOS DE RECUPERAÇÃO ESTRUTURAL DA PONTE SANTA ISABEL, QUE LIGA O BAIRRO DA BOA VISTA AO BAIRRO SANTO ANTÔNIO NA CIDADE DO RECIFE/PE (PONTE PRINCESA ISABEL)</v>
          </cell>
          <cell r="G110" t="str">
            <v>08.064.693/0001-98</v>
          </cell>
          <cell r="H110" t="str">
            <v>CONCREPOXI ENGENHARIA LTDA</v>
          </cell>
          <cell r="I110" t="str">
            <v>6-075/22</v>
          </cell>
          <cell r="J110">
            <v>44910</v>
          </cell>
          <cell r="K110">
            <v>645</v>
          </cell>
          <cell r="L110">
            <v>10636776.85</v>
          </cell>
          <cell r="N110">
            <v>0</v>
          </cell>
          <cell r="O110">
            <v>1764049.88</v>
          </cell>
          <cell r="P110">
            <v>-503261.39</v>
          </cell>
          <cell r="Q110" t="str">
            <v>4.4.90.39</v>
          </cell>
          <cell r="R110">
            <v>6091815.6199999992</v>
          </cell>
          <cell r="T110">
            <v>1438314.7799999998</v>
          </cell>
          <cell r="U110">
            <v>5731172.5899999999</v>
          </cell>
          <cell r="V110" t="str">
            <v>andamento</v>
          </cell>
        </row>
        <row r="111">
          <cell r="A111" t="str">
            <v>PREGÃO ELETRÔNICO Licitação: 029/2023</v>
          </cell>
          <cell r="B111" t="str">
            <v>SERVIÇOS DE OPERAÇÃO, AUTOMAÇÃO E MANUTENÇÃO ELÉTRICA E MECÂNICA DAS ESTAÇÕES DE BOMBEAMENTO E COMPORTAS DA CIDADE DO RECIFE. (15.008172/2023-67)</v>
          </cell>
          <cell r="G111" t="str">
            <v>14.733.583/0001-74</v>
          </cell>
          <cell r="H111" t="str">
            <v>PROJETAR CONSTRUÇÕES E PROJETOS EIRELI -ME</v>
          </cell>
          <cell r="I111" t="str">
            <v>6-075/23</v>
          </cell>
          <cell r="J111">
            <v>45273</v>
          </cell>
          <cell r="K111">
            <v>1155</v>
          </cell>
          <cell r="L111">
            <v>5749498.3099999996</v>
          </cell>
          <cell r="N111">
            <v>0</v>
          </cell>
          <cell r="O111">
            <v>0</v>
          </cell>
          <cell r="P111">
            <v>0</v>
          </cell>
          <cell r="Q111" t="str">
            <v>3.3.90.39</v>
          </cell>
          <cell r="R111">
            <v>78301.5</v>
          </cell>
          <cell r="T111">
            <v>0</v>
          </cell>
          <cell r="U111">
            <v>0</v>
          </cell>
          <cell r="V111" t="str">
            <v>andamento</v>
          </cell>
        </row>
        <row r="112">
          <cell r="A112" t="str">
            <v>CONCORRÊNCIA Licitação: 015/2022</v>
          </cell>
          <cell r="B112" t="str">
            <v>CONTRATAÇÃO DE EMPRESA DE ENGENHARIA ESPECIALIZADA EM ILUMINAÇÃO PÚBLICA, PARA FORNECIMENTO E INSTALAÇÃO DE LUMINÁRIA COM TECNOLOGIA LED E REDE ELÉTRICA, PARA ILUMINAÇÃO PEDONAL DO POLÍGONO VIÁRIO DA AGAMENON MAGALHÃES, RECIFE-PE</v>
          </cell>
          <cell r="G112" t="str">
            <v>03.834.750/0001-57</v>
          </cell>
          <cell r="H112" t="str">
            <v>EIP SERVICOS DE ILUMINACAO LTDA</v>
          </cell>
          <cell r="I112" t="str">
            <v>6-076/22</v>
          </cell>
          <cell r="J112">
            <v>44916</v>
          </cell>
          <cell r="K112">
            <v>790</v>
          </cell>
          <cell r="L112">
            <v>12692831.300000001</v>
          </cell>
          <cell r="N112">
            <v>0</v>
          </cell>
          <cell r="O112">
            <v>0</v>
          </cell>
          <cell r="P112">
            <v>447358.2</v>
          </cell>
          <cell r="Q112" t="str">
            <v>4.4.90.39</v>
          </cell>
          <cell r="R112">
            <v>8184129.9699999997</v>
          </cell>
          <cell r="T112">
            <v>1715489.25</v>
          </cell>
          <cell r="U112">
            <v>8112258.5599999996</v>
          </cell>
          <cell r="V112" t="str">
            <v>andamento</v>
          </cell>
        </row>
        <row r="113">
          <cell r="A113" t="str">
            <v>CONCORRÊNCIA Licitação: 021/2023</v>
          </cell>
          <cell r="B113" t="str">
            <v>CONTRATAÇÃO DE EMP. DE ENGENHARIA PARA EXECUÇÃO DE OBRAS DE REQUALIFICAÇÃO DA DRENAGEM E PAV. DA AVENIDA MARIO MELO, NO TRECHO COMPREENDIDO ENTRE AS RUAS DO HOSPÍCIO E RUA DA AURORA, SANTO AMARO. RECIFE - PE</v>
          </cell>
          <cell r="G113" t="str">
            <v>07.157.925/0001-90</v>
          </cell>
          <cell r="H113" t="str">
            <v>WB CONSTRUTORA LTDA</v>
          </cell>
          <cell r="I113" t="str">
            <v>6-076/23</v>
          </cell>
          <cell r="J113">
            <v>45275</v>
          </cell>
          <cell r="K113">
            <v>270</v>
          </cell>
          <cell r="L113">
            <v>5620447.9500000002</v>
          </cell>
          <cell r="N113">
            <v>0</v>
          </cell>
          <cell r="O113">
            <v>0</v>
          </cell>
          <cell r="P113">
            <v>0</v>
          </cell>
          <cell r="Q113" t="str">
            <v>4.4.90.39</v>
          </cell>
          <cell r="R113">
            <v>0</v>
          </cell>
          <cell r="T113">
            <v>0</v>
          </cell>
          <cell r="U113">
            <v>0</v>
          </cell>
          <cell r="V113" t="str">
            <v>andamento</v>
          </cell>
        </row>
        <row r="114">
          <cell r="A114" t="str">
            <v>TOMADA DE PREÇOS Licitação: 005/2022</v>
          </cell>
          <cell r="B114" t="str">
            <v>SERVIÇOS DE MANUTENÇÃO E RECUPERAÇÃO AMBIENTAL DO ATERRO CONTROLADO DA MURIBECA</v>
          </cell>
          <cell r="G114" t="str">
            <v>10.811.370/0001-62</v>
          </cell>
          <cell r="H114" t="str">
            <v>GUERRA CONSTRUCOES LTDA</v>
          </cell>
          <cell r="I114" t="str">
            <v>6-077/22</v>
          </cell>
          <cell r="J114">
            <v>44916</v>
          </cell>
          <cell r="K114">
            <v>790</v>
          </cell>
          <cell r="L114">
            <v>1116122.19</v>
          </cell>
          <cell r="N114">
            <v>0</v>
          </cell>
          <cell r="O114">
            <v>0</v>
          </cell>
          <cell r="P114">
            <v>0</v>
          </cell>
          <cell r="Q114" t="str">
            <v>3.3.90.39</v>
          </cell>
          <cell r="R114">
            <v>702441.4</v>
          </cell>
          <cell r="T114">
            <v>97067.28</v>
          </cell>
          <cell r="U114">
            <v>702441.4</v>
          </cell>
          <cell r="V114" t="str">
            <v>andamento</v>
          </cell>
        </row>
        <row r="115">
          <cell r="A115" t="str">
            <v>CONCORRÊNCIA Licitação: 019/2023</v>
          </cell>
          <cell r="B115" t="str">
            <v>CONSERVAÇÃO PREVENTIVA E CORRETIVA DE PARQUES, PRAÇAS, JARDINS E ÁREAS VERDES PÚBLICAS LOCALIZADAS DA CIDADE DO RECIFE. LOTE I</v>
          </cell>
          <cell r="G115" t="str">
            <v>08.963.533/0001-80</v>
          </cell>
          <cell r="H115" t="str">
            <v>FAR COMERCIO E SERVIÇOS PAISAGISTICOS LTDA</v>
          </cell>
          <cell r="I115" t="str">
            <v>6-077/23</v>
          </cell>
          <cell r="J115">
            <v>45264</v>
          </cell>
          <cell r="K115">
            <v>790</v>
          </cell>
          <cell r="L115">
            <v>14874758.91</v>
          </cell>
          <cell r="N115">
            <v>0</v>
          </cell>
          <cell r="O115">
            <v>0</v>
          </cell>
          <cell r="P115">
            <v>0</v>
          </cell>
          <cell r="Q115" t="str">
            <v>3.3.90.39</v>
          </cell>
          <cell r="R115">
            <v>647078.64</v>
          </cell>
          <cell r="T115">
            <v>647078.64</v>
          </cell>
          <cell r="U115">
            <v>647078.64</v>
          </cell>
          <cell r="V115" t="str">
            <v>andamento</v>
          </cell>
        </row>
        <row r="116">
          <cell r="A116" t="str">
            <v>CONCORRÊNCIA Licitação: 019/2023</v>
          </cell>
          <cell r="B116" t="str">
            <v>CONSERVAÇÃO PREVENTIVA E CORRETIVA DE PARQUES, PRAÇAS, JARDINS E ÁREAS VERDES PÚBLICAS LOCALIZADAS DA CIDADE DO RECIFE. LOTE II</v>
          </cell>
          <cell r="G116" t="str">
            <v>08.963.533/0001-80</v>
          </cell>
          <cell r="H116" t="str">
            <v>FAR COMERCIO E SERVIÇOS PAISAGISTICOS LTDA</v>
          </cell>
          <cell r="I116" t="str">
            <v>6-078/23</v>
          </cell>
          <cell r="J116">
            <v>45264</v>
          </cell>
          <cell r="K116">
            <v>790</v>
          </cell>
          <cell r="L116">
            <v>13262771.15</v>
          </cell>
          <cell r="N116">
            <v>0</v>
          </cell>
          <cell r="O116">
            <v>0</v>
          </cell>
          <cell r="P116">
            <v>0</v>
          </cell>
          <cell r="Q116" t="str">
            <v>3.3.90.39</v>
          </cell>
          <cell r="R116">
            <v>645756.65</v>
          </cell>
          <cell r="T116">
            <v>645756.64999999991</v>
          </cell>
          <cell r="U116">
            <v>645756.64999999991</v>
          </cell>
          <cell r="V116" t="str">
            <v>andamento</v>
          </cell>
        </row>
        <row r="117">
          <cell r="A117" t="str">
            <v>CONCORRÊNCIA Licitação: 023/2023</v>
          </cell>
          <cell r="B117" t="str">
            <v>CONSTRUÇÃO DO PARQUE JARDIM DO POÇO, LOCALIZADO NO BAIRRO DO POÇO DA PANELA - RECIFE - PE</v>
          </cell>
          <cell r="G117" t="str">
            <v>08.135.535/0001-81</v>
          </cell>
          <cell r="H117" t="str">
            <v>CONSTRUTORA FJ LTDA</v>
          </cell>
          <cell r="I117" t="str">
            <v>6-079/23</v>
          </cell>
          <cell r="J117">
            <v>45265</v>
          </cell>
          <cell r="K117">
            <v>210</v>
          </cell>
          <cell r="L117">
            <v>8496161.7599999998</v>
          </cell>
          <cell r="N117">
            <v>0</v>
          </cell>
          <cell r="O117">
            <v>0</v>
          </cell>
          <cell r="P117">
            <v>0</v>
          </cell>
          <cell r="Q117" t="str">
            <v>4.4.90.39</v>
          </cell>
          <cell r="R117">
            <v>2591223.1100000003</v>
          </cell>
          <cell r="T117">
            <v>2591223.11</v>
          </cell>
          <cell r="U117">
            <v>2591223.11</v>
          </cell>
          <cell r="V117" t="str">
            <v>andamento</v>
          </cell>
        </row>
        <row r="118">
          <cell r="A118" t="str">
            <v>CONCORRÊNCIA Licitação: 020/2023</v>
          </cell>
          <cell r="B118" t="str">
            <v>SERVIÇOS DE MANUTENÇÃO PREVENTIVA, IMPLANTAÇÃO, REQUALIFICAÇÃO, RECAPEAMENTO E/OU MICRORREVESTIMENTO DE VIAS EM CONCRETO BETUMINOSO USINADO Á QUENTE - CBUQ, DO SISTEMA VIÁRIO DA CIDADE DO RECIFE. LOTE I - RPA 1</v>
          </cell>
          <cell r="G118" t="str">
            <v>03.006.548/0001-37</v>
          </cell>
          <cell r="H118" t="str">
            <v>COSAMPA PROJETOS E CONSTRUCOES LTDA</v>
          </cell>
          <cell r="I118" t="str">
            <v>6-080/23</v>
          </cell>
          <cell r="J118">
            <v>45261</v>
          </cell>
          <cell r="K118">
            <v>365</v>
          </cell>
          <cell r="L118">
            <v>32777137.780000001</v>
          </cell>
          <cell r="N118">
            <v>0</v>
          </cell>
          <cell r="O118">
            <v>3952148.11</v>
          </cell>
          <cell r="P118">
            <v>0</v>
          </cell>
          <cell r="Q118" t="str">
            <v>3.3.90.39</v>
          </cell>
          <cell r="R118">
            <v>6103310.25</v>
          </cell>
          <cell r="T118">
            <v>1806045.67</v>
          </cell>
          <cell r="U118">
            <v>2360402.69</v>
          </cell>
          <cell r="V118" t="str">
            <v>andamento</v>
          </cell>
        </row>
        <row r="119">
          <cell r="A119" t="str">
            <v>CONCORRÊNCIA Licitação: 020/2023</v>
          </cell>
          <cell r="B119" t="str">
            <v>SERVIÇOS DE MANUTENÇÃO PREVENTIVA, IMPLANTAÇÃO, REQUALIFICAÇÃO, RECAPEAMENTO E/OU MICRORREVESTIMENTO DE VIAS EM CONCRETO BETUMINOSO USINADO Á QUENTE - CBUQ, DO SISTEMA VIÁRIO DA CIDADE DO RECIFE. LOTE II</v>
          </cell>
          <cell r="G119" t="str">
            <v>00.338.885/0001-33</v>
          </cell>
          <cell r="H119" t="str">
            <v>NOVATEC CONSTRUCOES E EMPREENDIMENTOS LTDA</v>
          </cell>
          <cell r="I119" t="str">
            <v>6-081/23</v>
          </cell>
          <cell r="J119">
            <v>45267</v>
          </cell>
          <cell r="K119">
            <v>365</v>
          </cell>
          <cell r="L119">
            <v>35817540.25</v>
          </cell>
          <cell r="N119">
            <v>0</v>
          </cell>
          <cell r="O119">
            <v>0</v>
          </cell>
          <cell r="P119">
            <v>0</v>
          </cell>
          <cell r="Q119" t="str">
            <v>3.3.90.39</v>
          </cell>
          <cell r="R119">
            <v>832286.1</v>
          </cell>
          <cell r="T119">
            <v>484214.38</v>
          </cell>
          <cell r="U119">
            <v>484214.38</v>
          </cell>
          <cell r="V119" t="str">
            <v>andamento</v>
          </cell>
        </row>
        <row r="120">
          <cell r="A120" t="str">
            <v>CONCORRÊNCIA Licitação: 020/2023</v>
          </cell>
          <cell r="B120" t="str">
            <v>SERVIÇOS DE MANUTENÇÃO PREVENTIVA, IMPLANTAÇÃO, REQUALIFICAÇÃO, RECAPEAMENTO E/OU MICRORREVESTIMENTO DE VIAS EM CONCRETO BETUMINOSO USINADO Á QUENTE, CBUQ, DO SISTEMA VIÁRIO DA CIDADE DO RECIFE.  LOTE III  -  RPA 4 E 5</v>
          </cell>
          <cell r="G120" t="str">
            <v>08.073.264/0001-87</v>
          </cell>
          <cell r="H120" t="str">
            <v>CONSTRUTORA ANDRADE GUEDES LTDA</v>
          </cell>
          <cell r="I120" t="str">
            <v>6-082/23</v>
          </cell>
          <cell r="J120">
            <v>45268</v>
          </cell>
          <cell r="K120">
            <v>365</v>
          </cell>
          <cell r="L120">
            <v>37427567.520000003</v>
          </cell>
          <cell r="N120">
            <v>0</v>
          </cell>
          <cell r="O120">
            <v>0</v>
          </cell>
          <cell r="P120">
            <v>0</v>
          </cell>
          <cell r="Q120" t="str">
            <v>3.3.90.39</v>
          </cell>
          <cell r="R120">
            <v>852575.69</v>
          </cell>
          <cell r="T120">
            <v>852575.69</v>
          </cell>
          <cell r="U120">
            <v>852575.69</v>
          </cell>
          <cell r="V120" t="str">
            <v>andamento</v>
          </cell>
        </row>
        <row r="121">
          <cell r="A121" t="str">
            <v>CONCORRÊNCIA Licitação: 020/2023</v>
          </cell>
          <cell r="B121" t="str">
            <v>SERVIÇOS DE MANUTENÇÃO PREVENTIVA, IMPLANTAÇÃO, REQUALIFICAÇÃO, RECAPEAMENTO E OU MICRORREVESTIMENTO DE VIAS EM CONCRETO BETUMINOSO USINADO Á QUENTE - CBUQ, DO SISTEMA VIÁRIO DA CIDADE DO RECIFE. LOTE IV</v>
          </cell>
          <cell r="G121" t="str">
            <v>40.882.060/0001-08</v>
          </cell>
          <cell r="H121" t="str">
            <v>LIDERMAC CONSTRUCOES E EQUIPAMENTOS LTDA</v>
          </cell>
          <cell r="I121" t="str">
            <v>6-083/23</v>
          </cell>
          <cell r="J121">
            <v>45271</v>
          </cell>
          <cell r="K121">
            <v>365</v>
          </cell>
          <cell r="L121">
            <v>32379678.760000002</v>
          </cell>
          <cell r="N121">
            <v>0</v>
          </cell>
          <cell r="O121">
            <v>546977.19999999995</v>
          </cell>
          <cell r="P121">
            <v>0</v>
          </cell>
          <cell r="Q121" t="str">
            <v>3.3.90.39</v>
          </cell>
          <cell r="R121">
            <v>2772623.66</v>
          </cell>
          <cell r="T121">
            <v>2772623.66</v>
          </cell>
          <cell r="U121">
            <v>2772623.66</v>
          </cell>
          <cell r="V121" t="str">
            <v>andamento</v>
          </cell>
        </row>
        <row r="122">
          <cell r="A122" t="str">
            <v>TOMADA DE PREÇOS Licitação: 007/2023</v>
          </cell>
          <cell r="B122" t="str">
            <v>IMPLANTAÇÃO DA DRENAGEM PLUVIAL NA AV. MASCARENHAS DE MORAES, TRECHO COMPREENDIDO ENTRE O CRUZAMENTO COM A AV. CENTENÁRIO ALBERTO SANTOS DUMONT, ATÉ A PRAÇA MINISTRO SALGADO FILHO NO BAIRRO DO IBURA - RECIFE PE</v>
          </cell>
          <cell r="G122" t="str">
            <v>02.724.778/0001-79</v>
          </cell>
          <cell r="H122" t="str">
            <v>UNITERRA - UNIAO TERRAPLENAGEM E CONSTRUCOES LTDA</v>
          </cell>
          <cell r="I122" t="str">
            <v>6-084/23</v>
          </cell>
          <cell r="J122">
            <v>45275</v>
          </cell>
          <cell r="K122">
            <v>240</v>
          </cell>
          <cell r="L122">
            <v>1523493.08</v>
          </cell>
          <cell r="N122">
            <v>0</v>
          </cell>
          <cell r="O122">
            <v>0</v>
          </cell>
          <cell r="P122">
            <v>0</v>
          </cell>
          <cell r="Q122" t="str">
            <v>4.4.90.39</v>
          </cell>
          <cell r="R122">
            <v>228701.38</v>
          </cell>
          <cell r="T122">
            <v>0</v>
          </cell>
          <cell r="U122">
            <v>0</v>
          </cell>
          <cell r="V122" t="str">
            <v>andamento</v>
          </cell>
        </row>
        <row r="123">
          <cell r="A123" t="str">
            <v>TOMADA DE PREÇOS Licitação: 006/2023</v>
          </cell>
          <cell r="B123" t="str">
            <v>SOLUÇÃO E ELABORAÇÃO DE PROJETOS DE MITIGAÇÃO DE PONTO CRÍTICO DE ALAGAMENTO EM VÁRIAS ÁREAS E VIAS URBANAS DA CIDADE DO RECIFE</v>
          </cell>
          <cell r="G123" t="str">
            <v>02.042.399/0001-07</v>
          </cell>
          <cell r="H123" t="str">
            <v>ACQUATOOL CONSULTORIA S/S LTDA EPP</v>
          </cell>
          <cell r="I123" t="str">
            <v>6-085/23</v>
          </cell>
          <cell r="J123">
            <v>45287</v>
          </cell>
          <cell r="K123">
            <v>270</v>
          </cell>
          <cell r="L123">
            <v>911042.96</v>
          </cell>
          <cell r="N123">
            <v>0</v>
          </cell>
          <cell r="O123">
            <v>0</v>
          </cell>
          <cell r="P123">
            <v>0</v>
          </cell>
          <cell r="Q123" t="str">
            <v>4.4.90.39</v>
          </cell>
          <cell r="R123">
            <v>0</v>
          </cell>
          <cell r="T123">
            <v>0</v>
          </cell>
          <cell r="U123">
            <v>0</v>
          </cell>
          <cell r="V123" t="str">
            <v>andamento</v>
          </cell>
        </row>
        <row r="124">
          <cell r="A124" t="str">
            <v>CONCORRÊNCIA Licitação: 024/2023</v>
          </cell>
          <cell r="B124" t="str">
            <v>SERVIÇOS DE IMPLANTAÇÃO DA REDE DE DRENAGEM DE ÁGUAS PLUVIAIS E PAVIMENTAÇÃO DE VIAS EM DIVERSAS RPA' S DA CIDADE DO RECIFE</v>
          </cell>
          <cell r="G124" t="str">
            <v>31.661.468/0001-50</v>
          </cell>
          <cell r="H124" t="str">
            <v>CONVERGE SERVICOS DE ENGENHARIA LTDA</v>
          </cell>
          <cell r="I124" t="str">
            <v>6-086/23</v>
          </cell>
          <cell r="J124">
            <v>45279</v>
          </cell>
          <cell r="K124">
            <v>210</v>
          </cell>
          <cell r="L124">
            <v>3697606.3</v>
          </cell>
          <cell r="N124">
            <v>0</v>
          </cell>
          <cell r="O124">
            <v>0</v>
          </cell>
          <cell r="P124">
            <v>0</v>
          </cell>
          <cell r="Q124" t="str">
            <v>4.4.90.39</v>
          </cell>
          <cell r="R124">
            <v>363788.06</v>
          </cell>
          <cell r="T124">
            <v>363788.05999999994</v>
          </cell>
          <cell r="U124">
            <v>363788.05999999994</v>
          </cell>
          <cell r="V124" t="str">
            <v>andamento</v>
          </cell>
        </row>
        <row r="125">
          <cell r="A125" t="str">
            <v>CONCORRÊNCIA Licitação: 022/2023</v>
          </cell>
          <cell r="B125" t="str">
            <v>SERVIÇOS DE MANUTENÇÃO E RECUPREÇÃO DA PAVIMENTAÇÃO EM PARALELEPÍPEDOS DA CIDADE DO RECIFE. LOTE I, RPA 01</v>
          </cell>
          <cell r="G125" t="str">
            <v>11.523.068/0001-71</v>
          </cell>
          <cell r="H125" t="str">
            <v>CONSTRUTORA FAELLA LTDA EPP</v>
          </cell>
          <cell r="I125" t="str">
            <v>6-087/23</v>
          </cell>
          <cell r="J125">
            <v>45300</v>
          </cell>
          <cell r="K125">
            <v>1125</v>
          </cell>
          <cell r="L125">
            <v>7853203.1100000003</v>
          </cell>
          <cell r="N125">
            <v>0</v>
          </cell>
          <cell r="O125">
            <v>0</v>
          </cell>
          <cell r="P125">
            <v>0</v>
          </cell>
          <cell r="Q125" t="str">
            <v>3.3.90.39</v>
          </cell>
          <cell r="R125">
            <v>0</v>
          </cell>
          <cell r="T125">
            <v>0</v>
          </cell>
          <cell r="U125">
            <v>0</v>
          </cell>
          <cell r="V125" t="str">
            <v>andamento</v>
          </cell>
        </row>
        <row r="126">
          <cell r="A126" t="str">
            <v>CONCORRÊNCIA Licitação: 022/2023</v>
          </cell>
          <cell r="B126" t="str">
            <v>SERVIÇOS DE MANUTENÇÃO E RECUPREÇÃO DA PAVIMENTAÇÃO EM PARALELEPÍPEDOS DA CIDADE DO RECIFE. LOTE II, RPA 02 E 03</v>
          </cell>
          <cell r="G126" t="str">
            <v>07.654.042/0001-95</v>
          </cell>
          <cell r="H126" t="str">
            <v>ALTA SERVIÇOS DE ENGENHARIA LTDA</v>
          </cell>
          <cell r="I126" t="str">
            <v>6-088/23</v>
          </cell>
          <cell r="J126">
            <v>45288</v>
          </cell>
          <cell r="K126">
            <v>1125</v>
          </cell>
          <cell r="L126">
            <v>8591843.0700000003</v>
          </cell>
          <cell r="N126">
            <v>0</v>
          </cell>
          <cell r="O126">
            <v>0</v>
          </cell>
          <cell r="P126">
            <v>0</v>
          </cell>
          <cell r="Q126" t="str">
            <v>3.3.90.39</v>
          </cell>
          <cell r="R126">
            <v>352090.77</v>
          </cell>
          <cell r="T126">
            <v>99864.54</v>
          </cell>
          <cell r="U126">
            <v>99864.54</v>
          </cell>
          <cell r="V126" t="str">
            <v>andamento</v>
          </cell>
        </row>
        <row r="127">
          <cell r="A127" t="str">
            <v>CONCORRÊNCIA Licitação: 022/2023</v>
          </cell>
          <cell r="B127" t="str">
            <v>SERVIÇOS DE MANUTENÇÃO E RECUPREÇÃO DA PAVIMENTAÇÃO EM PARALELEPÍPEDOS DA CIDADE DO RECIFE. LOTE III, RPA 04 E 05</v>
          </cell>
          <cell r="G127" t="str">
            <v>10.698.641/0001-15</v>
          </cell>
          <cell r="H127" t="str">
            <v>CONSTRUTORA MASTER EIRELI ME</v>
          </cell>
          <cell r="I127" t="str">
            <v>6-089/23</v>
          </cell>
          <cell r="J127">
            <v>45280</v>
          </cell>
          <cell r="K127">
            <v>1125</v>
          </cell>
          <cell r="L127">
            <v>10635818.07</v>
          </cell>
          <cell r="N127">
            <v>0</v>
          </cell>
          <cell r="O127">
            <v>0</v>
          </cell>
          <cell r="P127">
            <v>0</v>
          </cell>
          <cell r="Q127" t="str">
            <v>3.3.90.39</v>
          </cell>
          <cell r="R127">
            <v>0</v>
          </cell>
          <cell r="T127">
            <v>0</v>
          </cell>
          <cell r="U127">
            <v>0</v>
          </cell>
          <cell r="V127" t="str">
            <v>andamento</v>
          </cell>
        </row>
        <row r="128">
          <cell r="A128" t="str">
            <v>CONCORRÊNCIA Licitação: 022/2023</v>
          </cell>
          <cell r="B128" t="str">
            <v>SERVIÇOS DE MANUTENÇÃO E RECUPREÇÃO DA PAVIMENTAÇÃO EM PARALELEPÍPEDOS DA CIDADE DO RECIFE. LOTE IV, RPA 06</v>
          </cell>
          <cell r="G128" t="str">
            <v>10.811.370/0001-62</v>
          </cell>
          <cell r="H128" t="str">
            <v>GUERRA CONSTRUCOES LTDA</v>
          </cell>
          <cell r="I128" t="str">
            <v>6-090/23</v>
          </cell>
          <cell r="J128">
            <v>45280</v>
          </cell>
          <cell r="K128">
            <v>1125</v>
          </cell>
          <cell r="L128">
            <v>11760484.59</v>
          </cell>
          <cell r="N128">
            <v>0</v>
          </cell>
          <cell r="O128">
            <v>0</v>
          </cell>
          <cell r="P128">
            <v>0</v>
          </cell>
          <cell r="Q128" t="str">
            <v>3.3.90.39</v>
          </cell>
          <cell r="R128">
            <v>123643.47</v>
          </cell>
          <cell r="T128">
            <v>72276.37</v>
          </cell>
          <cell r="U128">
            <v>72276.37</v>
          </cell>
          <cell r="V128" t="str">
            <v>andamento</v>
          </cell>
        </row>
        <row r="129">
          <cell r="A129" t="str">
            <v>CONCORRÊNCIA Licitação: 025/2023</v>
          </cell>
          <cell r="B129" t="str">
            <v>EMPRESA ESPECIALIZADA EM VIDEO INSPEÇÃO E ELABORAÇÃO DE DIAGNÓSTICOS DO SISTEMA DE MICRODRENAGEM DA CIDADE DO RECIFE</v>
          </cell>
          <cell r="G129" t="str">
            <v>40.884.405/0001-54</v>
          </cell>
          <cell r="H129" t="str">
            <v>LOQUIPE LOCACAO DE EQUIPAMENTOS E MAO DE OBRA LTDA</v>
          </cell>
          <cell r="I129" t="str">
            <v>6-091/23</v>
          </cell>
          <cell r="J129">
            <v>45352</v>
          </cell>
          <cell r="K129">
            <v>365</v>
          </cell>
          <cell r="L129">
            <v>4982817</v>
          </cell>
          <cell r="N129">
            <v>0</v>
          </cell>
          <cell r="O129">
            <v>0</v>
          </cell>
          <cell r="P129">
            <v>0</v>
          </cell>
          <cell r="Q129" t="str">
            <v>3.3.90.39</v>
          </cell>
          <cell r="R129">
            <v>0</v>
          </cell>
          <cell r="T129">
            <v>0</v>
          </cell>
          <cell r="U129">
            <v>0</v>
          </cell>
          <cell r="V129" t="str">
            <v>andamento</v>
          </cell>
        </row>
        <row r="130">
          <cell r="A130" t="str">
            <v>CONCORRÊNCIA Licitação: 026/2023</v>
          </cell>
          <cell r="B130" t="str">
            <v>ELABORAÇÃO DE PROJETOS EXECUTIVOS DE INFRAESTRUTURA URBANA, PARA DIVERSAS VIAS URBANAS DA CIDADE DO RECIFE - LOTE I</v>
          </cell>
          <cell r="G130" t="str">
            <v>41.075.755/0001-32</v>
          </cell>
          <cell r="H130" t="str">
            <v>NORCONSULT PROJETOS E CONSULTORIA LTDA</v>
          </cell>
          <cell r="I130" t="str">
            <v>6-001/24</v>
          </cell>
          <cell r="J130">
            <v>45327</v>
          </cell>
          <cell r="K130">
            <v>360</v>
          </cell>
          <cell r="L130">
            <v>1504215.49</v>
          </cell>
          <cell r="N130">
            <v>0</v>
          </cell>
          <cell r="O130">
            <v>0</v>
          </cell>
          <cell r="P130">
            <v>0</v>
          </cell>
          <cell r="Q130" t="str">
            <v>3.3.90.39</v>
          </cell>
          <cell r="R130">
            <v>0</v>
          </cell>
          <cell r="T130">
            <v>0</v>
          </cell>
          <cell r="U130">
            <v>0</v>
          </cell>
          <cell r="V130" t="str">
            <v>andamento</v>
          </cell>
        </row>
        <row r="131">
          <cell r="A131" t="str">
            <v>CONCORRÊNCIA Licitação: 026/2023</v>
          </cell>
          <cell r="B131" t="str">
            <v>ELABORAÇÃO DE PROJETOS EXECUTIVOS DE INFRAESTRUTURA URBANA, PARA DIVERSAS VIAS URBANAS DA CIDADE DO RECIFE - LOTE II</v>
          </cell>
          <cell r="G131" t="str">
            <v>11.019.554/0001-57</v>
          </cell>
          <cell r="H131" t="str">
            <v>PDCA ENGENHARIA PLANEJAMENTO DESENVOLVIMENTO CONSULTORIA E ASSESSORIA LTDA EPP</v>
          </cell>
          <cell r="I131" t="str">
            <v>6-002/24</v>
          </cell>
          <cell r="J131">
            <v>1</v>
          </cell>
          <cell r="K131">
            <v>360</v>
          </cell>
          <cell r="L131">
            <v>1344558.34</v>
          </cell>
          <cell r="N131">
            <v>0</v>
          </cell>
          <cell r="O131">
            <v>0</v>
          </cell>
          <cell r="P131">
            <v>0</v>
          </cell>
          <cell r="Q131" t="str">
            <v>3.3.90.39</v>
          </cell>
          <cell r="R131">
            <v>0</v>
          </cell>
          <cell r="T131">
            <v>0</v>
          </cell>
          <cell r="U131">
            <v>0</v>
          </cell>
          <cell r="V131" t="str">
            <v>em elaboração</v>
          </cell>
        </row>
        <row r="132">
          <cell r="A132" t="str">
            <v>PREGÃO ELETRÔNICO Licitação: 033/2023</v>
          </cell>
          <cell r="B132" t="str">
            <v>SERVIÇOS DE ENGENHARIA DE BAIXA COMPLEXIDADE, PARA FECHAMENTO DE EDIFICAÇÕES E ÁREAS PÚBLICAS, COM RISCOS DE DESMORONAMENTO E INVASÕES, DURANTE O PERÍODO DO “CARNAVAL DE 2024”. LOTE I (15.009778/2023-10)</v>
          </cell>
          <cell r="G132" t="str">
            <v>06.157.352/0001-31</v>
          </cell>
          <cell r="H132" t="str">
            <v>JAIR SOUZA DE LIMA SERVICOS E CONSTRUCOES LTDA</v>
          </cell>
          <cell r="I132" t="str">
            <v>6-003/24</v>
          </cell>
          <cell r="J132">
            <v>45315</v>
          </cell>
          <cell r="K132">
            <v>60</v>
          </cell>
          <cell r="L132">
            <v>276000</v>
          </cell>
          <cell r="N132">
            <v>0</v>
          </cell>
          <cell r="O132">
            <v>68889.62</v>
          </cell>
          <cell r="P132">
            <v>0</v>
          </cell>
          <cell r="Q132" t="str">
            <v>3.3.90.39</v>
          </cell>
          <cell r="R132">
            <v>341814.11</v>
          </cell>
          <cell r="T132">
            <v>272924.49</v>
          </cell>
          <cell r="U132">
            <v>272924.49</v>
          </cell>
          <cell r="V132" t="str">
            <v>andamento</v>
          </cell>
        </row>
        <row r="133">
          <cell r="A133" t="str">
            <v>PREGÃO ELETRÔNICO Licitação: 033/2023</v>
          </cell>
          <cell r="B133" t="str">
            <v>SERVIÇOS DE ENGENHARIA DE BAIXA COMPLEXIDADE, PARA FECHAMENTO DE EDIFICAÇÕES E ÁREAS PÚBLICAS, COM RISCOS DE DESMORONAMENTO E INVASÕES, DURANTE O PERÍODO DO “CARNAVAL DE 2024”. LOTE II (15.009778/2023-10)</v>
          </cell>
          <cell r="G133" t="str">
            <v>08.135.535/0001-81</v>
          </cell>
          <cell r="H133" t="str">
            <v>CONSTRUTORA FJ LTDA</v>
          </cell>
          <cell r="I133" t="str">
            <v>6-004/24</v>
          </cell>
          <cell r="J133">
            <v>45314</v>
          </cell>
          <cell r="K133">
            <v>60</v>
          </cell>
          <cell r="L133">
            <v>292497.15999999997</v>
          </cell>
          <cell r="N133">
            <v>0</v>
          </cell>
          <cell r="O133">
            <v>73065.440000000002</v>
          </cell>
          <cell r="P133">
            <v>0</v>
          </cell>
          <cell r="Q133" t="str">
            <v>3.3.90.39</v>
          </cell>
          <cell r="R133">
            <v>365562.49</v>
          </cell>
          <cell r="T133">
            <v>292497.05</v>
          </cell>
          <cell r="U133">
            <v>292497.05</v>
          </cell>
          <cell r="V133" t="str">
            <v>andamento</v>
          </cell>
        </row>
        <row r="134">
          <cell r="A134" t="str">
            <v>PREGÃO ELETRÔNICO Licitação: 033/2023</v>
          </cell>
          <cell r="B134" t="str">
            <v>SERVIÇOS DE ENGENHARIA DE BAIXA COMPLEXIDADE, PARA FECHAMENTO DE EDIFICAÇÕES E ÁREAS PÚBLICAS, COM RISCOS DE DESMORONAMENTO E INVASÕES, DURANTE O PERÍODO DO “CARNAVAL DE 2024”. LOTE III (15.009778/2023-10)</v>
          </cell>
          <cell r="G134" t="str">
            <v>10.811.370/0001-62</v>
          </cell>
          <cell r="H134" t="str">
            <v>GUERRA CONSTRUCOES LTDA</v>
          </cell>
          <cell r="I134" t="str">
            <v>6-005/24</v>
          </cell>
          <cell r="J134">
            <v>45314</v>
          </cell>
          <cell r="K134">
            <v>60</v>
          </cell>
          <cell r="L134">
            <v>429999.35</v>
          </cell>
          <cell r="N134">
            <v>0</v>
          </cell>
          <cell r="O134">
            <v>107370.45</v>
          </cell>
          <cell r="P134">
            <v>0</v>
          </cell>
          <cell r="Q134" t="str">
            <v>3.3.90.39</v>
          </cell>
          <cell r="R134">
            <v>534932.43000000005</v>
          </cell>
          <cell r="T134">
            <v>427561.98</v>
          </cell>
          <cell r="U134">
            <v>427561.98</v>
          </cell>
          <cell r="V134" t="str">
            <v>andamento</v>
          </cell>
        </row>
        <row r="135">
          <cell r="A135" t="str">
            <v>PREGÃO ELETRÔNICO Licitação: 040/2023</v>
          </cell>
          <cell r="B135" t="str">
            <v>SERVIÇOS DE RECUPERAÇÃO E MANUTENÇÃO DO MURO DO CEMITÉRIO SENHOR BOM JESUS DA REDENÇÃO DE SANTO AMARO DAS SALINAS, NO TRECHO COMPREENDIDO ENTRE A RUA DOS PALMARES E A RUA PEDRO AFONSO, SANTO AMARO, RECIFE/PE. (15.011006/2023-48)</v>
          </cell>
          <cell r="G135" t="str">
            <v>41.331.709/0001-57</v>
          </cell>
          <cell r="H135" t="str">
            <v>TUDO FORTE CONSTRUÇÕES COMERCIO E SERVIÇOS EIRELI</v>
          </cell>
          <cell r="I135" t="str">
            <v>6-006/24</v>
          </cell>
          <cell r="J135">
            <v>1</v>
          </cell>
          <cell r="K135">
            <v>90</v>
          </cell>
          <cell r="L135">
            <v>290450.01</v>
          </cell>
          <cell r="N135">
            <v>0</v>
          </cell>
          <cell r="O135">
            <v>0</v>
          </cell>
          <cell r="P135">
            <v>0</v>
          </cell>
          <cell r="Q135" t="str">
            <v>3.3.90.39</v>
          </cell>
          <cell r="R135">
            <v>0</v>
          </cell>
          <cell r="T135">
            <v>0</v>
          </cell>
          <cell r="U135">
            <v>0</v>
          </cell>
          <cell r="V135" t="str">
            <v>em elaboração</v>
          </cell>
        </row>
        <row r="136">
          <cell r="A136" t="str">
            <v>INEX  001/2024</v>
          </cell>
          <cell r="B136" t="str">
            <v>SERVIÇO DE CONSULTIVA ESPECIALIZADA EM CÁLCULO ESTRUTURAL DE OBRA DE ARTE ESPECIAL, PARA INVESTIGAÇÃO DAS NOVAS PATOLOGIAS IDENTIFICADAS NA PONTE 12 DE SETEMBRO (PONTE GIRATÓRIA), LOCALIZADA NO BAIRRO DE SÃO JOSÉ, RECIFE-PE. 15.011475/2023-67</v>
          </cell>
          <cell r="G136" t="str">
            <v>35.476.548/0001-97</v>
          </cell>
          <cell r="H136" t="str">
            <v>B &amp; C ENGENHERIOS CONSULTORES LTDA</v>
          </cell>
          <cell r="I136" t="str">
            <v>6-009/24</v>
          </cell>
          <cell r="J136">
            <v>45317</v>
          </cell>
          <cell r="K136">
            <v>210</v>
          </cell>
          <cell r="L136">
            <v>465300</v>
          </cell>
          <cell r="N136">
            <v>0</v>
          </cell>
          <cell r="O136">
            <v>0</v>
          </cell>
          <cell r="P136">
            <v>0</v>
          </cell>
          <cell r="Q136" t="str">
            <v>3.3.90.39</v>
          </cell>
          <cell r="R136">
            <v>101771.01</v>
          </cell>
          <cell r="T136">
            <v>0</v>
          </cell>
          <cell r="U136">
            <v>0</v>
          </cell>
          <cell r="V136" t="str">
            <v>andamento</v>
          </cell>
        </row>
        <row r="137">
          <cell r="A137" t="str">
            <v>TOMADA DE PREÇOS Licitação: 012/2023</v>
          </cell>
          <cell r="B137" t="str">
            <v>CONTRATAÇÃO DE EMPRESA ESPECIALIZADA DE ENG. CONSULTIVA DE ESTUDOS DE PAV. PARA REALIZAÇÃO DE ENSAIOS IN SITU E DE LABORATÓRIOS, DAS CAMADAS DO PAVIMENTO COM REVESTIMENTO FLEXÍVEL DE DIVERSAS VIAS DA CIDADE DO RECIFE - PE</v>
          </cell>
          <cell r="G137" t="str">
            <v>32.636.403/0001-18</v>
          </cell>
          <cell r="H137" t="str">
            <v>STONE CONSULTORIA &amp; PROJETOS LTDA</v>
          </cell>
          <cell r="I137" t="str">
            <v>6-010/24</v>
          </cell>
          <cell r="J137">
            <v>45324</v>
          </cell>
          <cell r="K137">
            <v>570</v>
          </cell>
          <cell r="L137">
            <v>704906.94</v>
          </cell>
          <cell r="N137">
            <v>0</v>
          </cell>
          <cell r="O137">
            <v>0</v>
          </cell>
          <cell r="P137">
            <v>0</v>
          </cell>
          <cell r="Q137" t="str">
            <v>3.3.90.39</v>
          </cell>
          <cell r="R137">
            <v>0</v>
          </cell>
          <cell r="T137">
            <v>0</v>
          </cell>
          <cell r="U137">
            <v>0</v>
          </cell>
          <cell r="V137" t="str">
            <v>andamento</v>
          </cell>
        </row>
        <row r="138">
          <cell r="A138" t="str">
            <v>CONCORRÊNCIA Licitação: 029/2023</v>
          </cell>
          <cell r="B138" t="str">
            <v>REQUALIFICAÇÃO DA DRENAGEM PLUVIAL, PAVIMENTAÇÃO E ACESSIBILIDADE NA RUA GONÇALVES MAIA, TRECHO AV. MANOEL BORBA E AV. LINS PETIT NO BAIRRO DA BOA VISTA - RECIFE/PE</v>
          </cell>
          <cell r="G138" t="str">
            <v>03.400.040/0001-19</v>
          </cell>
          <cell r="H138" t="str">
            <v>TOPEC EMPREENDIMENTOS E SERVICOS LTDA</v>
          </cell>
          <cell r="I138" t="str">
            <v>6-011/24</v>
          </cell>
          <cell r="J138">
            <v>1</v>
          </cell>
          <cell r="K138">
            <v>180</v>
          </cell>
          <cell r="L138">
            <v>2575522.7599999998</v>
          </cell>
          <cell r="N138">
            <v>0</v>
          </cell>
          <cell r="O138">
            <v>0</v>
          </cell>
          <cell r="P138">
            <v>0</v>
          </cell>
          <cell r="Q138" t="str">
            <v>3.3.90.39</v>
          </cell>
          <cell r="R138">
            <v>0</v>
          </cell>
          <cell r="T138">
            <v>0</v>
          </cell>
          <cell r="U138">
            <v>0</v>
          </cell>
          <cell r="V138" t="str">
            <v>em elaboração</v>
          </cell>
        </row>
        <row r="139">
          <cell r="A139" t="str">
            <v>TOMADA DE PREÇOS Licitação: 016/2023</v>
          </cell>
          <cell r="B139" t="str">
            <v>CONTRATAÇÃO DE EMPRESA ESPECIALIZADA DE ENGENHARIA PARA IMPLANTAÇÃO DE PRAÇA DA 1º INFÂNCIA, FERRAMENTAS DE CULTURA E LAZER, NO PARQUE TREZE DE MAIO, BAIRRO DE SANTO AMARO, NA CIDADE DO RECIFE - PE</v>
          </cell>
          <cell r="G139" t="str">
            <v>08.135.535/0001-81</v>
          </cell>
          <cell r="H139" t="str">
            <v>CONSTRUTORA FJ LTDA</v>
          </cell>
          <cell r="I139" t="str">
            <v>6-012/24</v>
          </cell>
          <cell r="J139">
            <v>45358</v>
          </cell>
          <cell r="K139">
            <v>210</v>
          </cell>
          <cell r="L139">
            <v>2359459.92</v>
          </cell>
          <cell r="N139">
            <v>0</v>
          </cell>
          <cell r="O139">
            <v>0</v>
          </cell>
          <cell r="P139">
            <v>0</v>
          </cell>
          <cell r="Q139" t="str">
            <v>3.3.90.39</v>
          </cell>
          <cell r="R139">
            <v>0</v>
          </cell>
          <cell r="T139">
            <v>0</v>
          </cell>
          <cell r="U139">
            <v>0</v>
          </cell>
        </row>
        <row r="140">
          <cell r="A140" t="str">
            <v>TOMADA DE PREÇOS Licitação: 017/2023</v>
          </cell>
          <cell r="B140" t="str">
            <v>CONTRATAÇÃO DE CONSULTÓRIA PARA DESENVOLVIMENTO DE MISTURAS DE REAPROVEITAMENTO DE MATERIAL FRESADO, EM CAMADAS DE BASE E SUB-BASE E REVESTIMENTO DE PAVIMENTOS ASFALTICOS NA CIDADE DO RECIFE - PE</v>
          </cell>
          <cell r="G140" t="str">
            <v>32.636.403/0001-18</v>
          </cell>
          <cell r="H140" t="str">
            <v>STONE CONSULTORIA &amp; PROJETOS LTDA</v>
          </cell>
          <cell r="I140" t="str">
            <v>6-013/24</v>
          </cell>
          <cell r="J140">
            <v>45328</v>
          </cell>
          <cell r="K140">
            <v>210</v>
          </cell>
          <cell r="L140">
            <v>786794.83</v>
          </cell>
          <cell r="N140">
            <v>0</v>
          </cell>
          <cell r="O140">
            <v>0</v>
          </cell>
          <cell r="P140">
            <v>0</v>
          </cell>
          <cell r="Q140" t="str">
            <v>3.3.90.39</v>
          </cell>
          <cell r="R140">
            <v>0</v>
          </cell>
          <cell r="T140">
            <v>0</v>
          </cell>
          <cell r="U140">
            <v>0</v>
          </cell>
          <cell r="V140" t="str">
            <v>andamento</v>
          </cell>
        </row>
        <row r="141">
          <cell r="A141" t="str">
            <v>CONCORRÊNCIA Licitação: 037/2023</v>
          </cell>
          <cell r="B141" t="str">
            <v>SERVIÇOS DE MANUTENÇÃO E/OU INSTALAÇÕES DE EQUIPAMENTOS/BRINQUEDOS EM MADEIRAS E/OU AÇO, INSTALADOS EM PARQUES, PRAÇAS E ÁREAS VERDES DA CIDADE DO RECIFE</v>
          </cell>
          <cell r="G141" t="str">
            <v>06.157.352/0001-31</v>
          </cell>
          <cell r="H141" t="str">
            <v>JAIR SOUZA DE LIMA SERVICOS E CONSTRUCOES LTDA</v>
          </cell>
          <cell r="I141" t="str">
            <v>6-014/24</v>
          </cell>
          <cell r="J141">
            <v>45356</v>
          </cell>
          <cell r="K141">
            <v>760</v>
          </cell>
          <cell r="L141">
            <v>3456461.18</v>
          </cell>
          <cell r="N141">
            <v>0</v>
          </cell>
          <cell r="O141">
            <v>0</v>
          </cell>
          <cell r="P141">
            <v>0</v>
          </cell>
          <cell r="Q141" t="str">
            <v>3.3.90.39</v>
          </cell>
          <cell r="R141">
            <v>0</v>
          </cell>
          <cell r="T141">
            <v>0</v>
          </cell>
          <cell r="U141">
            <v>0</v>
          </cell>
          <cell r="V141" t="str">
            <v>andamento</v>
          </cell>
        </row>
        <row r="142">
          <cell r="A142" t="str">
            <v>CONCORRÊNCIA Licitação: 028/2023</v>
          </cell>
          <cell r="B142" t="str">
            <v>EXECUÇÃO DE OBRAS DE IMPLANTAÇÃO DE DRENAGEM PLUVIAL E PAVIMENTAÇÃO DE RUAS, LOTE I : REVESTIMENTO EM CBUQ, NA CIDADE DO RECIFE - PE</v>
          </cell>
          <cell r="G142" t="str">
            <v>02.724.778/0001-79</v>
          </cell>
          <cell r="H142" t="str">
            <v>UNITERRA - UNIAO TERRAPLENAGEM E CONSTRUCOES LTDA</v>
          </cell>
          <cell r="I142" t="str">
            <v>6-015/24</v>
          </cell>
          <cell r="J142">
            <v>45365</v>
          </cell>
          <cell r="K142">
            <v>270</v>
          </cell>
          <cell r="L142">
            <v>6560114.3499999996</v>
          </cell>
          <cell r="N142">
            <v>0</v>
          </cell>
          <cell r="O142">
            <v>0</v>
          </cell>
          <cell r="P142">
            <v>0</v>
          </cell>
          <cell r="Q142" t="str">
            <v>3.3.90.39</v>
          </cell>
          <cell r="R142">
            <v>0</v>
          </cell>
          <cell r="T142">
            <v>0</v>
          </cell>
          <cell r="U142">
            <v>0</v>
          </cell>
          <cell r="V142" t="str">
            <v>cadastrado</v>
          </cell>
        </row>
        <row r="143">
          <cell r="A143" t="str">
            <v>CONCORRÊNCIA Licitação: 028/2023</v>
          </cell>
          <cell r="B143" t="str">
            <v>EXECUÇÃO DE OBRAS DE IMPLANTAÇÃO DE DRENAGEM PLUVIAL E PAVIMENTAÇÃO DE RUAS, LOTE II : REVESTIMENTO EM PARALELEPÍPEDO E INTERTRAVADO, NA CIDADE DO RECIFE - PE</v>
          </cell>
          <cell r="G143" t="str">
            <v>08.135.535/0001-81</v>
          </cell>
          <cell r="H143" t="str">
            <v>CONSTRUTORA FJ LTDA</v>
          </cell>
          <cell r="I143" t="str">
            <v>6-016/24</v>
          </cell>
          <cell r="J143">
            <v>45359</v>
          </cell>
          <cell r="K143">
            <v>270</v>
          </cell>
          <cell r="L143">
            <v>2816415.47</v>
          </cell>
          <cell r="N143">
            <v>0</v>
          </cell>
          <cell r="O143">
            <v>0</v>
          </cell>
          <cell r="P143">
            <v>0</v>
          </cell>
          <cell r="Q143" t="str">
            <v>3.3.90.39</v>
          </cell>
          <cell r="R143">
            <v>0</v>
          </cell>
          <cell r="T143">
            <v>0</v>
          </cell>
          <cell r="U143">
            <v>0</v>
          </cell>
          <cell r="V143" t="str">
            <v>andamento</v>
          </cell>
        </row>
        <row r="144">
          <cell r="A144" t="str">
            <v>PREGÃO ELETRÔNICO Licitação: 007/2023</v>
          </cell>
          <cell r="B144" t="str">
            <v>FORNECER E INSTALAR ALAMBRADOS E PISO FULGET VISANDO ATENDER A DEMANDA DE MANUTENÇÃO DE PARQUES, PRAÇAS E ÁREAS VERDES NA CIDADE DO RECIFE (SEI. 15.000886/2024-16)</v>
          </cell>
          <cell r="G144" t="str">
            <v>08.135.535/0001-81</v>
          </cell>
          <cell r="H144" t="str">
            <v>CONSTRUTORA FJ LTDA</v>
          </cell>
          <cell r="I144" t="str">
            <v>6-017/24</v>
          </cell>
          <cell r="J144">
            <v>1</v>
          </cell>
          <cell r="K144">
            <v>365</v>
          </cell>
          <cell r="L144">
            <v>3815824.95</v>
          </cell>
          <cell r="N144">
            <v>0</v>
          </cell>
          <cell r="O144">
            <v>0</v>
          </cell>
          <cell r="P144">
            <v>0</v>
          </cell>
          <cell r="Q144" t="str">
            <v>3.3.90.39</v>
          </cell>
          <cell r="R144">
            <v>0</v>
          </cell>
          <cell r="T144">
            <v>0</v>
          </cell>
          <cell r="U144">
            <v>0</v>
          </cell>
        </row>
        <row r="145">
          <cell r="A145" t="str">
            <v>PREGÃO ELETRÔNICO Licitação: 039/2023</v>
          </cell>
          <cell r="B145" t="str">
            <v>EXECUÇÃO DOS SERVIÇOS DE IMPLANTAÇÃO DE CABEAMENTO ESTRUTURADO E DA REDE ELÉTRICA ESTABILIZADA EM 110V DO 1° PAVIMENTO E 2° PAVIMENTO DO BOLOCO A DA SEDE DA EMLURB. (15.0107771/2023-18)</v>
          </cell>
          <cell r="G145" t="str">
            <v>32.185.141/0001-12</v>
          </cell>
          <cell r="H145" t="str">
            <v>CASTRO &amp; ROCHA LTDA</v>
          </cell>
          <cell r="I145" t="str">
            <v>6-018/24</v>
          </cell>
          <cell r="J145">
            <v>1</v>
          </cell>
          <cell r="K145">
            <v>120</v>
          </cell>
          <cell r="L145">
            <v>629704</v>
          </cell>
          <cell r="N145">
            <v>0</v>
          </cell>
          <cell r="O145">
            <v>0</v>
          </cell>
          <cell r="P145">
            <v>0</v>
          </cell>
          <cell r="Q145" t="str">
            <v>3.3.90.39</v>
          </cell>
          <cell r="R145">
            <v>0</v>
          </cell>
          <cell r="T145">
            <v>0</v>
          </cell>
          <cell r="U145">
            <v>0</v>
          </cell>
          <cell r="V145" t="str">
            <v>em elaboração</v>
          </cell>
        </row>
        <row r="146">
          <cell r="A146" t="str">
            <v>PREGÃO ELETRÔNICO Licitação: 044/2023</v>
          </cell>
          <cell r="B146" t="str">
            <v>CONTRATAÇÃO DE EMPRESA ESPECIALIZADA PARA REALIZAÇÃO DE ENSAIOS INVESTIGATIVOS DE PATOLOGIAS E EMISSÃO DE LAUDO TÉCNICO PARA A PONTE JOSÉ DE BARROS LIMA, LOCALIZADA NO BAIRRO DE JOANA BEZERRA, RECIFE - PE  (15.011468/2023-65)</v>
          </cell>
          <cell r="G146" t="str">
            <v>41.012.964/0001-37</v>
          </cell>
          <cell r="H146" t="str">
            <v>TECOMAT ENGENHARIA LTDA</v>
          </cell>
          <cell r="I146" t="str">
            <v>6-019/24</v>
          </cell>
          <cell r="J146">
            <v>45377</v>
          </cell>
          <cell r="K146">
            <v>120</v>
          </cell>
          <cell r="L146">
            <v>119999.8</v>
          </cell>
          <cell r="N146">
            <v>0</v>
          </cell>
          <cell r="O146">
            <v>0</v>
          </cell>
          <cell r="P146">
            <v>0</v>
          </cell>
          <cell r="Q146" t="str">
            <v>3.3.90.39</v>
          </cell>
          <cell r="R146">
            <v>0</v>
          </cell>
          <cell r="T146">
            <v>0</v>
          </cell>
          <cell r="U146">
            <v>0</v>
          </cell>
          <cell r="V146" t="str">
            <v>andamento</v>
          </cell>
        </row>
        <row r="147">
          <cell r="A147" t="str">
            <v>TOMADA DE PREÇOS Licitação: 010/2023</v>
          </cell>
          <cell r="B147" t="str">
            <v>REQUALIFICAÇÃO DE INFRESTRUTURA DE DRENAGEM PLUVIAL, PAVIMENTAÇÃO, IMPLANTAÇÃO DE SISTEMA DE ABASTECUMENTO DE ÁGUA, ESGOTAMENTO ANITÁRIO E ILUMINAÇÃO PÚBLICA DA RUA BERNARDO GUIMARÃES, BAIRRO DE SANTO AMARO, RECIFE - PE</v>
          </cell>
          <cell r="G147" t="str">
            <v>08.135.535/0001-81</v>
          </cell>
          <cell r="H147" t="str">
            <v>CONSTRUTORA FJ LTDA</v>
          </cell>
          <cell r="I147" t="str">
            <v>6-020/24</v>
          </cell>
          <cell r="J147">
            <v>1</v>
          </cell>
          <cell r="K147">
            <v>760</v>
          </cell>
          <cell r="L147">
            <v>1709485.55</v>
          </cell>
          <cell r="N147">
            <v>0</v>
          </cell>
          <cell r="O147">
            <v>0</v>
          </cell>
          <cell r="P147">
            <v>0</v>
          </cell>
          <cell r="Q147" t="str">
            <v>3.3.90.39</v>
          </cell>
          <cell r="R147">
            <v>0</v>
          </cell>
          <cell r="T147">
            <v>0</v>
          </cell>
          <cell r="U147">
            <v>0</v>
          </cell>
          <cell r="V147" t="str">
            <v>em elaboração</v>
          </cell>
        </row>
        <row r="148">
          <cell r="A148" t="str">
            <v>CONCORRÊNCIA Licitação: 042/2023</v>
          </cell>
          <cell r="B148" t="str">
            <v>PRESTAÇÃO DE SERVIÇOS COMPLEMENTARES DE LIMPEZA URBANA EM ÁREAS DE MORROS, TALUDES, ALGUMAS ÁREAS PLANAS E SERVIÇOS DE MANUTENÇÃO CONTÍNUA, PREVENTIVA E CORRETIVA DE ARBORIZAÇÃO URBANA EM MORROS DA CIDADE DO RECIFE, INCLUINDO A LOCAÇÃO E EQUIPAMENTOS</v>
          </cell>
          <cell r="G148" t="str">
            <v>40.884.405/0001-54</v>
          </cell>
          <cell r="H148" t="str">
            <v>LOQUIPE LOCACAO DE EQUIPAMENTOS E MAO DE OBRA LTDA</v>
          </cell>
          <cell r="I148" t="str">
            <v>6-021/24</v>
          </cell>
          <cell r="J148">
            <v>1</v>
          </cell>
          <cell r="K148">
            <v>365</v>
          </cell>
          <cell r="L148">
            <v>20266855.800000001</v>
          </cell>
          <cell r="N148">
            <v>0</v>
          </cell>
          <cell r="O148">
            <v>0</v>
          </cell>
          <cell r="P148">
            <v>0</v>
          </cell>
          <cell r="Q148" t="str">
            <v>3.3.90.39</v>
          </cell>
          <cell r="R148">
            <v>0</v>
          </cell>
          <cell r="T148">
            <v>0</v>
          </cell>
          <cell r="U148">
            <v>0</v>
          </cell>
          <cell r="V148" t="str">
            <v>em elaboração</v>
          </cell>
        </row>
        <row r="149">
          <cell r="A149" t="str">
            <v>CONCORRÊNCIA Licitação: 030/2023</v>
          </cell>
          <cell r="B149" t="str">
            <v>CONTRATAÇÃO DE EMPRESA ESPECIALIZADA DE ENGENHARIA PARA EXECUÇÃO DOS SERVIÇOS DE MANUTENÇÃO DE CONTENÇÃO DE CANAIS, NAS DIVERSAS REGIÕES POLÍTICO ADMINISTRAÇÃO - RPA´S DA CIDADE DO RECIFE</v>
          </cell>
          <cell r="G149" t="str">
            <v>10.811.370/0001-62</v>
          </cell>
          <cell r="H149" t="str">
            <v>GUERRA CONSTRUCOES LTDA</v>
          </cell>
          <cell r="I149" t="str">
            <v>6-022/24</v>
          </cell>
          <cell r="J149">
            <v>45387</v>
          </cell>
          <cell r="K149">
            <v>810</v>
          </cell>
          <cell r="L149">
            <v>11271183.82</v>
          </cell>
          <cell r="N149">
            <v>0</v>
          </cell>
          <cell r="O149">
            <v>0</v>
          </cell>
          <cell r="P149">
            <v>0</v>
          </cell>
          <cell r="Q149" t="str">
            <v>3.3.90.39</v>
          </cell>
          <cell r="T149">
            <v>0</v>
          </cell>
          <cell r="U149">
            <v>0</v>
          </cell>
        </row>
        <row r="150">
          <cell r="A150" t="str">
            <v>CONCORRÊNCIA Licitação: 031/2023</v>
          </cell>
          <cell r="B150" t="str">
            <v>EXECUÇÃO DOS SERVIÇOS DE IMPLANTAÇÃO DE DRENAGEM DE ÁGUAS PLUVIAIS E PAVIMENTAÇÃO EM PARALELEPÍPEDOS E INTERTRAVADOS EM CIMENTO, EM VIAS DE ÁREAS URBANIZADAS NA CIDADE DO RECIFE - PE</v>
          </cell>
          <cell r="G150" t="str">
            <v>08.135.535/0001-81</v>
          </cell>
          <cell r="H150" t="str">
            <v>CONSTRUTORA FJ LTDA</v>
          </cell>
          <cell r="I150" t="str">
            <v>6-023/24</v>
          </cell>
          <cell r="J150">
            <v>1</v>
          </cell>
          <cell r="K150">
            <v>210</v>
          </cell>
          <cell r="L150">
            <v>2953993.31</v>
          </cell>
          <cell r="N150">
            <v>0</v>
          </cell>
          <cell r="O150">
            <v>0</v>
          </cell>
          <cell r="P150">
            <v>0</v>
          </cell>
          <cell r="Q150" t="str">
            <v>3.3.90.39</v>
          </cell>
          <cell r="R150">
            <v>0</v>
          </cell>
          <cell r="T150">
            <v>0</v>
          </cell>
          <cell r="U150">
            <v>0</v>
          </cell>
          <cell r="V150" t="str">
            <v>em elaboração</v>
          </cell>
        </row>
        <row r="151">
          <cell r="A151" t="str">
            <v>TOMADA DE PREÇOS Licitação: 011/2023</v>
          </cell>
          <cell r="B151" t="str">
            <v>EXECUÇÃO DOS SERVIÇOS DE IMPLANTAÇÃO DE REDE DE DRENAGEM DE ÁGUAS PLUVIAIS E PAVIMENTAÇÃO EM PARALELEPÍPEDOS OU INTERTRAVADOS DE CIMENTO EM VIAS, EM ÁREAS URBANIZADAS DA CIDADE DO RECIFE</v>
          </cell>
          <cell r="G151" t="str">
            <v>08.135.535/0001-81</v>
          </cell>
          <cell r="H151" t="str">
            <v>CONSTRUTORA FJ LTDA</v>
          </cell>
          <cell r="I151" t="str">
            <v>6-025/24</v>
          </cell>
          <cell r="J151">
            <v>1</v>
          </cell>
          <cell r="K151">
            <v>210</v>
          </cell>
          <cell r="L151">
            <v>1475947.39</v>
          </cell>
          <cell r="N151">
            <v>0</v>
          </cell>
          <cell r="O151">
            <v>0</v>
          </cell>
          <cell r="P151">
            <v>0</v>
          </cell>
          <cell r="Q151" t="str">
            <v>3.3.90.39</v>
          </cell>
          <cell r="R151">
            <v>0</v>
          </cell>
          <cell r="T151">
            <v>0</v>
          </cell>
          <cell r="U151">
            <v>0</v>
          </cell>
          <cell r="V151" t="str">
            <v>em elaboração</v>
          </cell>
        </row>
        <row r="152">
          <cell r="J152">
            <v>1</v>
          </cell>
          <cell r="K152">
            <v>420</v>
          </cell>
          <cell r="L152">
            <v>7636142.0800000001</v>
          </cell>
          <cell r="N152">
            <v>0</v>
          </cell>
          <cell r="O152">
            <v>0</v>
          </cell>
          <cell r="P152">
            <v>0</v>
          </cell>
          <cell r="Q152" t="str">
            <v>3.3.90.39</v>
          </cell>
          <cell r="T152">
            <v>0</v>
          </cell>
          <cell r="U152">
            <v>0</v>
          </cell>
        </row>
      </sheetData>
      <sheetData sheetId="1"/>
      <sheetData sheetId="2"/>
      <sheetData sheetId="3"/>
      <sheetData sheetId="4"/>
    </sheetDataSet>
  </externalBook>
</externalLink>
</file>

<file path=xl/theme/theme1.xml><?xml version="1.0" encoding="utf-8"?>
<a:theme xmlns:a="http://schemas.openxmlformats.org/drawingml/2006/main" name="Tema do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9C9F67-8095-4F00-ACF6-AF868D17D349}">
  <sheetPr>
    <pageSetUpPr fitToPage="1"/>
  </sheetPr>
  <dimension ref="A1:AI172"/>
  <sheetViews>
    <sheetView tabSelected="1" workbookViewId="0">
      <selection activeCell="J5" sqref="J5:O5"/>
    </sheetView>
  </sheetViews>
  <sheetFormatPr defaultColWidth="16.42578125" defaultRowHeight="15" x14ac:dyDescent="0.25"/>
  <cols>
    <col min="1" max="1" width="20.85546875" style="43" bestFit="1" customWidth="1"/>
    <col min="2" max="2" width="48.5703125" style="43" customWidth="1"/>
    <col min="3" max="3" width="13.7109375" style="63" customWidth="1"/>
    <col min="4" max="4" width="9.28515625" style="63" customWidth="1"/>
    <col min="5" max="5" width="11.140625" style="43" bestFit="1" customWidth="1"/>
    <col min="6" max="6" width="13.5703125" style="43" customWidth="1"/>
    <col min="7" max="7" width="15" style="64" bestFit="1" customWidth="1"/>
    <col min="8" max="8" width="11.85546875" style="64" customWidth="1"/>
    <col min="9" max="9" width="7.7109375" style="43" customWidth="1"/>
    <col min="10" max="10" width="7.28515625" style="65" bestFit="1" customWidth="1"/>
    <col min="11" max="11" width="5.42578125" style="66" bestFit="1" customWidth="1"/>
    <col min="12" max="12" width="12" style="43" bestFit="1" customWidth="1"/>
    <col min="13" max="13" width="7.28515625" style="65" bestFit="1" customWidth="1"/>
    <col min="14" max="14" width="5.7109375" style="67" bestFit="1" customWidth="1"/>
    <col min="15" max="15" width="11.140625" style="68" bestFit="1" customWidth="1"/>
    <col min="16" max="16" width="12" style="63" bestFit="1" customWidth="1"/>
    <col min="17" max="17" width="8" style="43" bestFit="1" customWidth="1"/>
    <col min="18" max="18" width="12" style="43" bestFit="1" customWidth="1"/>
    <col min="19" max="19" width="13.5703125" style="68" bestFit="1" customWidth="1"/>
    <col min="20" max="20" width="10.85546875" style="68" customWidth="1"/>
    <col min="21" max="21" width="12.42578125" style="43" customWidth="1"/>
    <col min="22" max="22" width="10.42578125" style="43" customWidth="1"/>
    <col min="23" max="16384" width="16.42578125" style="43"/>
  </cols>
  <sheetData>
    <row r="1" spans="1:35" s="3" customFormat="1" ht="11.25" x14ac:dyDescent="0.25">
      <c r="A1" s="1" t="s">
        <v>0</v>
      </c>
      <c r="B1" s="1"/>
      <c r="C1" s="1"/>
      <c r="D1" s="1"/>
      <c r="E1" s="1"/>
      <c r="F1" s="1"/>
      <c r="G1" s="1"/>
      <c r="H1" s="1"/>
      <c r="I1" s="1"/>
      <c r="J1" s="1"/>
      <c r="K1" s="1"/>
      <c r="L1" s="1"/>
      <c r="M1" s="1"/>
      <c r="N1" s="1"/>
      <c r="O1" s="1"/>
      <c r="P1" s="1"/>
      <c r="Q1" s="1"/>
      <c r="R1" s="1"/>
      <c r="S1" s="1"/>
      <c r="T1" s="1"/>
      <c r="U1" s="1"/>
      <c r="V1" s="2"/>
    </row>
    <row r="2" spans="1:35" s="3" customFormat="1" ht="11.25" x14ac:dyDescent="0.25">
      <c r="A2" s="1" t="s">
        <v>1</v>
      </c>
      <c r="B2" s="1"/>
      <c r="C2" s="1"/>
      <c r="D2" s="1"/>
      <c r="E2" s="1"/>
      <c r="F2" s="1"/>
      <c r="G2" s="4"/>
      <c r="H2" s="4"/>
      <c r="I2" s="4"/>
      <c r="J2" s="4"/>
      <c r="K2" s="4"/>
      <c r="L2" s="4"/>
      <c r="M2" s="4"/>
      <c r="N2" s="4"/>
      <c r="O2" s="4"/>
      <c r="P2" s="4"/>
      <c r="Q2" s="4"/>
      <c r="R2" s="4"/>
      <c r="S2" s="4"/>
      <c r="T2" s="4"/>
      <c r="U2" s="4"/>
      <c r="V2" s="2"/>
    </row>
    <row r="3" spans="1:35" s="3" customFormat="1" ht="11.25" x14ac:dyDescent="0.25">
      <c r="A3" s="1" t="s">
        <v>2</v>
      </c>
      <c r="B3" s="1"/>
      <c r="C3" s="1"/>
      <c r="D3" s="1"/>
      <c r="E3" s="1"/>
      <c r="F3" s="1"/>
      <c r="G3" s="4"/>
      <c r="H3" s="4"/>
      <c r="I3" s="4"/>
      <c r="J3" s="4"/>
      <c r="K3" s="4"/>
      <c r="L3" s="4"/>
      <c r="M3" s="4"/>
      <c r="N3" s="4"/>
      <c r="O3" s="4"/>
      <c r="P3" s="4"/>
      <c r="Q3" s="4"/>
      <c r="R3" s="4"/>
      <c r="S3" s="4"/>
      <c r="T3" s="4"/>
      <c r="U3" s="4"/>
      <c r="V3" s="2"/>
    </row>
    <row r="4" spans="1:35" s="3" customFormat="1" ht="11.25" x14ac:dyDescent="0.25">
      <c r="A4" s="5" t="s">
        <v>3</v>
      </c>
      <c r="B4" s="5"/>
      <c r="C4" s="6"/>
      <c r="D4" s="6"/>
      <c r="E4" s="7"/>
      <c r="F4" s="8"/>
      <c r="G4" s="8"/>
      <c r="H4" s="8"/>
      <c r="I4" s="9"/>
      <c r="J4" s="10" t="s">
        <v>4</v>
      </c>
      <c r="K4" s="10"/>
      <c r="L4" s="10"/>
      <c r="M4" s="10"/>
      <c r="N4" s="10"/>
      <c r="O4" s="10"/>
      <c r="P4" s="11"/>
      <c r="Q4" s="12"/>
      <c r="R4" s="12"/>
      <c r="S4" s="12"/>
      <c r="T4" s="12"/>
      <c r="U4" s="12"/>
      <c r="V4" s="13"/>
    </row>
    <row r="5" spans="1:35" s="3" customFormat="1" ht="11.25" x14ac:dyDescent="0.25">
      <c r="A5" s="1" t="s">
        <v>5</v>
      </c>
      <c r="B5" s="1"/>
      <c r="C5" s="1"/>
      <c r="D5" s="6"/>
      <c r="E5" s="14"/>
      <c r="F5" s="8"/>
      <c r="G5" s="8"/>
      <c r="H5" s="8"/>
      <c r="I5" s="9"/>
      <c r="J5" s="15" t="s">
        <v>6</v>
      </c>
      <c r="K5" s="15"/>
      <c r="L5" s="15"/>
      <c r="M5" s="15"/>
      <c r="N5" s="15"/>
      <c r="O5" s="15"/>
      <c r="P5" s="16"/>
      <c r="Q5" s="8"/>
      <c r="R5" s="8"/>
      <c r="S5" s="8"/>
      <c r="T5" s="8"/>
      <c r="U5" s="8"/>
      <c r="V5" s="17"/>
      <c r="W5" s="18"/>
      <c r="AI5" s="18"/>
    </row>
    <row r="6" spans="1:35" s="25" customFormat="1" ht="11.25" x14ac:dyDescent="0.25">
      <c r="A6" s="19" t="s">
        <v>7</v>
      </c>
      <c r="B6" s="19" t="s">
        <v>8</v>
      </c>
      <c r="C6" s="19" t="s">
        <v>9</v>
      </c>
      <c r="D6" s="19"/>
      <c r="E6" s="19"/>
      <c r="F6" s="19"/>
      <c r="G6" s="20" t="s">
        <v>10</v>
      </c>
      <c r="H6" s="21"/>
      <c r="I6" s="19" t="s">
        <v>11</v>
      </c>
      <c r="J6" s="19"/>
      <c r="K6" s="19"/>
      <c r="L6" s="19"/>
      <c r="M6" s="19"/>
      <c r="N6" s="19" t="s">
        <v>12</v>
      </c>
      <c r="O6" s="19"/>
      <c r="P6" s="22"/>
      <c r="Q6" s="19" t="s">
        <v>13</v>
      </c>
      <c r="R6" s="19"/>
      <c r="S6" s="19"/>
      <c r="T6" s="19"/>
      <c r="U6" s="19"/>
      <c r="V6" s="23" t="s">
        <v>14</v>
      </c>
      <c r="W6" s="24"/>
      <c r="AI6" s="24"/>
    </row>
    <row r="7" spans="1:35" s="34" customFormat="1" ht="56.25" x14ac:dyDescent="0.25">
      <c r="A7" s="19"/>
      <c r="B7" s="19"/>
      <c r="C7" s="26" t="s">
        <v>15</v>
      </c>
      <c r="D7" s="26" t="s">
        <v>16</v>
      </c>
      <c r="E7" s="26" t="s">
        <v>17</v>
      </c>
      <c r="F7" s="26" t="s">
        <v>18</v>
      </c>
      <c r="G7" s="27" t="s">
        <v>19</v>
      </c>
      <c r="H7" s="27" t="s">
        <v>20</v>
      </c>
      <c r="I7" s="22" t="s">
        <v>15</v>
      </c>
      <c r="J7" s="28" t="s">
        <v>21</v>
      </c>
      <c r="K7" s="29" t="s">
        <v>22</v>
      </c>
      <c r="L7" s="26" t="s">
        <v>23</v>
      </c>
      <c r="M7" s="28" t="s">
        <v>24</v>
      </c>
      <c r="N7" s="30" t="s">
        <v>25</v>
      </c>
      <c r="O7" s="31" t="s">
        <v>26</v>
      </c>
      <c r="P7" s="26" t="s">
        <v>27</v>
      </c>
      <c r="Q7" s="22" t="s">
        <v>28</v>
      </c>
      <c r="R7" s="26" t="s">
        <v>29</v>
      </c>
      <c r="S7" s="26" t="s">
        <v>30</v>
      </c>
      <c r="T7" s="26" t="s">
        <v>31</v>
      </c>
      <c r="U7" s="26" t="s">
        <v>32</v>
      </c>
      <c r="V7" s="32"/>
      <c r="W7" s="33"/>
      <c r="AI7" s="33"/>
    </row>
    <row r="8" spans="1:35" ht="56.25" x14ac:dyDescent="0.25">
      <c r="A8" s="35" t="str">
        <f>'[1]1º TRIMESTRE'!A8</f>
        <v>CONCORRÊNCIA Licitação: 023/2022</v>
      </c>
      <c r="B8" s="35" t="str">
        <f>'[1]1º TRIMESTRE'!B8</f>
        <v>SERVIÇOS DE MANUTENÇÃO CORRETIVA (OPERAÇÃO TAPA BURACO) EM CONCRETO BETUMINOSO USINADO À QUENTE - CBUQ, EM CONCRETO PRÉ MISTURADO A FRIO - PMF, DO SISTEMA VIÁRIO DA CIDADE DO RECIFE. LOTE I, RPA 01</v>
      </c>
      <c r="C8" s="36">
        <v>0</v>
      </c>
      <c r="D8" s="37">
        <v>0</v>
      </c>
      <c r="E8" s="37">
        <v>0</v>
      </c>
      <c r="F8" s="37">
        <v>0</v>
      </c>
      <c r="G8" s="38" t="str">
        <f>'[1]1º TRIMESTRE'!G8</f>
        <v>00.999.591/0001-52</v>
      </c>
      <c r="H8" s="38" t="str">
        <f>'[1]1º TRIMESTRE'!H8</f>
        <v xml:space="preserve">AGC CONSTRUTORA E EMPREENDIMENTOS LTDA      </v>
      </c>
      <c r="I8" s="37" t="str">
        <f>'[1]1º TRIMESTRE'!I8</f>
        <v>6-001/23</v>
      </c>
      <c r="J8" s="39">
        <f>'[1]1º TRIMESTRE'!J8</f>
        <v>44928</v>
      </c>
      <c r="K8" s="40">
        <f>'[1]1º TRIMESTRE'!K8</f>
        <v>1125</v>
      </c>
      <c r="L8" s="37">
        <f>'[1]1º TRIMESTRE'!L8</f>
        <v>14926062.529999999</v>
      </c>
      <c r="M8" s="39">
        <f>J8+K8+N8</f>
        <v>46053</v>
      </c>
      <c r="N8" s="41">
        <f>'[1]1º TRIMESTRE'!N8</f>
        <v>0</v>
      </c>
      <c r="O8" s="42">
        <f>'[1]1º TRIMESTRE'!O8</f>
        <v>25767.3</v>
      </c>
      <c r="P8" s="37">
        <f>'[1]1º TRIMESTRE'!P8</f>
        <v>489755.22</v>
      </c>
      <c r="Q8" s="37" t="str">
        <f>'[1]1º TRIMESTRE'!Q8</f>
        <v>3.3.90.39</v>
      </c>
      <c r="R8" s="42">
        <f>'[1]1º TRIMESTRE'!R8+410422.25</f>
        <v>3067959.37</v>
      </c>
      <c r="S8" s="42">
        <v>410422.25</v>
      </c>
      <c r="T8" s="42">
        <f>'[1]1º TRIMESTRE'!T8+S8</f>
        <v>962514.43</v>
      </c>
      <c r="U8" s="42">
        <f>'[1]1º TRIMESTRE'!U8+S8</f>
        <v>3067959.29</v>
      </c>
      <c r="V8" s="37" t="str">
        <f>'[1]1º TRIMESTRE'!V8</f>
        <v>andamento</v>
      </c>
    </row>
    <row r="9" spans="1:35" ht="33.75" x14ac:dyDescent="0.25">
      <c r="A9" s="35" t="str">
        <f>'[1]1º TRIMESTRE'!A9</f>
        <v>CONCORRÊNCIA / nº 012/2020</v>
      </c>
      <c r="B9" s="35" t="str">
        <f>'[1]1º TRIMESTRE'!B9</f>
        <v>CONTRATACAO DOS SERVICOS DE LIMPEZA E MANUTENCAO DO SISTEMA DE MICRODRENAGEM DE AGUAS PLUVIAIS DO MUNICIPIO DO RECIFE RPA 02 E 03</v>
      </c>
      <c r="C9" s="36">
        <v>0</v>
      </c>
      <c r="D9" s="37">
        <v>0</v>
      </c>
      <c r="E9" s="37">
        <v>0</v>
      </c>
      <c r="F9" s="37">
        <v>0</v>
      </c>
      <c r="G9" s="38" t="str">
        <f>'[1]1º TRIMESTRE'!G9</f>
        <v>07.693.988/0001-60</v>
      </c>
      <c r="H9" s="38" t="str">
        <f>'[1]1º TRIMESTRE'!H9</f>
        <v>F R F ENGENHARIA LTDA</v>
      </c>
      <c r="I9" s="37" t="str">
        <f>'[1]1º TRIMESTRE'!I9</f>
        <v>6-002/21</v>
      </c>
      <c r="J9" s="39">
        <f>'[1]1º TRIMESTRE'!J9</f>
        <v>44204</v>
      </c>
      <c r="K9" s="40">
        <f>'[1]1º TRIMESTRE'!K9</f>
        <v>1125</v>
      </c>
      <c r="L9" s="37">
        <f>'[1]1º TRIMESTRE'!L9</f>
        <v>17543900.190000001</v>
      </c>
      <c r="M9" s="39">
        <f t="shared" ref="M9:M72" si="0">J9+K9+N9</f>
        <v>45329</v>
      </c>
      <c r="N9" s="41">
        <f>'[1]1º TRIMESTRE'!N9</f>
        <v>0</v>
      </c>
      <c r="O9" s="42">
        <f>'[1]1º TRIMESTRE'!O9</f>
        <v>4739810.3600000003</v>
      </c>
      <c r="P9" s="37">
        <f>'[1]1º TRIMESTRE'!P9</f>
        <v>2825629.11</v>
      </c>
      <c r="Q9" s="37" t="str">
        <f>'[1]1º TRIMESTRE'!Q9</f>
        <v>3.3.90.39</v>
      </c>
      <c r="R9" s="42">
        <f>'[1]1º TRIMESTRE'!R9</f>
        <v>14012678.93</v>
      </c>
      <c r="S9" s="42">
        <v>0</v>
      </c>
      <c r="T9" s="42">
        <f>'[1]1º TRIMESTRE'!T9+S9</f>
        <v>0</v>
      </c>
      <c r="U9" s="42">
        <f>'[1]1º TRIMESTRE'!U9+S9</f>
        <v>14012678.93</v>
      </c>
      <c r="V9" s="37" t="str">
        <f>'[1]1º TRIMESTRE'!V9</f>
        <v>encerrado</v>
      </c>
    </row>
    <row r="10" spans="1:35" ht="33.75" x14ac:dyDescent="0.25">
      <c r="A10" s="35" t="str">
        <f>'[1]1º TRIMESTRE'!A10</f>
        <v>CONCORRÊNCIA / nº 012/2021</v>
      </c>
      <c r="B10" s="35" t="str">
        <f>'[1]1º TRIMESTRE'!B10</f>
        <v>CONTRATAÇÃO DE EMPRESA DE ENGENHARIA, ESPECIALIZADA EM ILUMINAÇÃO PÚBLICA, PARA SERVIÇOS DE APOIO TÉCNICO PARA CIDADE DO RECIFE.</v>
      </c>
      <c r="C10" s="36">
        <v>0</v>
      </c>
      <c r="D10" s="37">
        <v>0</v>
      </c>
      <c r="E10" s="37">
        <v>0</v>
      </c>
      <c r="F10" s="37">
        <v>0</v>
      </c>
      <c r="G10" s="38" t="str">
        <f>'[1]1º TRIMESTRE'!G10</f>
        <v>03.834.750/0001-57</v>
      </c>
      <c r="H10" s="38" t="str">
        <f>'[1]1º TRIMESTRE'!H10</f>
        <v>EIP SERVICOS DE ILUMINACAO LTDA</v>
      </c>
      <c r="I10" s="37" t="str">
        <f>'[1]1º TRIMESTRE'!I10</f>
        <v>6-002/22</v>
      </c>
      <c r="J10" s="39">
        <f>'[1]1º TRIMESTRE'!J10</f>
        <v>44589</v>
      </c>
      <c r="K10" s="40">
        <f>'[1]1º TRIMESTRE'!K10</f>
        <v>760</v>
      </c>
      <c r="L10" s="37">
        <f>'[1]1º TRIMESTRE'!L10</f>
        <v>1418802</v>
      </c>
      <c r="M10" s="39">
        <f t="shared" si="0"/>
        <v>45349</v>
      </c>
      <c r="N10" s="41">
        <f>'[1]1º TRIMESTRE'!N10</f>
        <v>0</v>
      </c>
      <c r="O10" s="42">
        <f>'[1]1º TRIMESTRE'!O10</f>
        <v>353919.51</v>
      </c>
      <c r="P10" s="37">
        <f>'[1]1º TRIMESTRE'!P10</f>
        <v>159554.79999999999</v>
      </c>
      <c r="Q10" s="37" t="str">
        <f>'[1]1º TRIMESTRE'!Q10</f>
        <v>3.3.90.39</v>
      </c>
      <c r="R10" s="42">
        <f>'[1]1º TRIMESTRE'!R10</f>
        <v>1566273.81</v>
      </c>
      <c r="S10" s="42">
        <v>0</v>
      </c>
      <c r="T10" s="42">
        <f>'[1]1º TRIMESTRE'!T10+S10</f>
        <v>0</v>
      </c>
      <c r="U10" s="42">
        <f>'[1]1º TRIMESTRE'!U10+S10</f>
        <v>1566273.81</v>
      </c>
      <c r="V10" s="37" t="str">
        <f>'[1]1º TRIMESTRE'!V10</f>
        <v>encerrado</v>
      </c>
    </row>
    <row r="11" spans="1:35" ht="56.25" x14ac:dyDescent="0.25">
      <c r="A11" s="35" t="str">
        <f>'[1]1º TRIMESTRE'!A11</f>
        <v>CONCORRÊNCIA Licitação: 023/2022</v>
      </c>
      <c r="B11" s="35" t="str">
        <f>'[1]1º TRIMESTRE'!B11</f>
        <v>SERVIÇOS DE MANUTENÇÃO CORRETIVA (OPERAÇÃO TAPA BURACO) EM CONCRETO BETUMINOSO USINADO À QUENTE - CBUQ, EM CONCRETO PRÉ MISTURADO A FRIO - PMF, DO SISTEMA VIÁRIO DA CIDADE DO RECIFE. LOTE II - RPA 02 E 03</v>
      </c>
      <c r="C11" s="36">
        <v>0</v>
      </c>
      <c r="D11" s="37">
        <v>0</v>
      </c>
      <c r="E11" s="37">
        <v>0</v>
      </c>
      <c r="F11" s="37">
        <v>0</v>
      </c>
      <c r="G11" s="38" t="str">
        <f>'[1]1º TRIMESTRE'!G11</f>
        <v>00.999.591/0001-52</v>
      </c>
      <c r="H11" s="38" t="str">
        <f>'[1]1º TRIMESTRE'!H11</f>
        <v xml:space="preserve">AGC CONSTRUTORA E EMPREENDIMENTOS LTDA      </v>
      </c>
      <c r="I11" s="37" t="str">
        <f>'[1]1º TRIMESTRE'!I11</f>
        <v>6-002/23</v>
      </c>
      <c r="J11" s="39">
        <f>'[1]1º TRIMESTRE'!J11</f>
        <v>44952</v>
      </c>
      <c r="K11" s="40">
        <f>'[1]1º TRIMESTRE'!K11</f>
        <v>1125</v>
      </c>
      <c r="L11" s="37">
        <f>'[1]1º TRIMESTRE'!L11</f>
        <v>18344816.460000001</v>
      </c>
      <c r="M11" s="39">
        <f t="shared" si="0"/>
        <v>46077</v>
      </c>
      <c r="N11" s="41">
        <f>'[1]1º TRIMESTRE'!N11</f>
        <v>0</v>
      </c>
      <c r="O11" s="42">
        <f>'[1]1º TRIMESTRE'!O11</f>
        <v>0</v>
      </c>
      <c r="P11" s="37">
        <f>'[1]1º TRIMESTRE'!P11</f>
        <v>601981.77</v>
      </c>
      <c r="Q11" s="37" t="str">
        <f>'[1]1º TRIMESTRE'!Q11</f>
        <v>3.3.90.39</v>
      </c>
      <c r="R11" s="42">
        <f>'[1]1º TRIMESTRE'!R11+785882.83</f>
        <v>5485632.29</v>
      </c>
      <c r="S11" s="42">
        <v>800938.53</v>
      </c>
      <c r="T11" s="42">
        <f>'[1]1º TRIMESTRE'!T11+S11</f>
        <v>1664556.06</v>
      </c>
      <c r="U11" s="42">
        <f>'[1]1º TRIMESTRE'!U11+S11</f>
        <v>5472312.9199999999</v>
      </c>
      <c r="V11" s="37" t="str">
        <f>'[1]1º TRIMESTRE'!V11</f>
        <v>andamento</v>
      </c>
    </row>
    <row r="12" spans="1:35" ht="45" x14ac:dyDescent="0.25">
      <c r="A12" s="35" t="str">
        <f>'[1]1º TRIMESTRE'!A12</f>
        <v>CONCORRÊNCIA / nº 008/2021</v>
      </c>
      <c r="B12" s="35" t="str">
        <f>'[1]1º TRIMESTRE'!B12</f>
        <v>CONTRATAÇÃO DE EMPRESA DE ENGENHARIA, ESPECIALIZADA EM ILUMINAÇÃO PÚBLICA, PARA EXECUÇÃO DA MANUTENÇÃO, PREVENTIVA E CORRETIVA, DO SISTEMA DE ILUMINAÇÃO CÊNICA DA CIDADE DO RECIFE</v>
      </c>
      <c r="C12" s="36" t="s">
        <v>33</v>
      </c>
      <c r="D12" s="37" t="s">
        <v>34</v>
      </c>
      <c r="E12" s="37">
        <v>50000000</v>
      </c>
      <c r="F12" s="37">
        <v>0</v>
      </c>
      <c r="G12" s="38" t="str">
        <f>'[1]1º TRIMESTRE'!G12</f>
        <v>03.834.750/0001-57</v>
      </c>
      <c r="H12" s="38" t="str">
        <f>'[1]1º TRIMESTRE'!H12</f>
        <v>EIP SERVICOS DE ILUMINACAO LTDA</v>
      </c>
      <c r="I12" s="37" t="str">
        <f>'[1]1º TRIMESTRE'!I12</f>
        <v>6-003/22</v>
      </c>
      <c r="J12" s="39">
        <f>'[1]1º TRIMESTRE'!J12</f>
        <v>44589</v>
      </c>
      <c r="K12" s="40">
        <f>'[1]1º TRIMESTRE'!K12</f>
        <v>760</v>
      </c>
      <c r="L12" s="37">
        <f>'[1]1º TRIMESTRE'!L12</f>
        <v>3730846.67</v>
      </c>
      <c r="M12" s="39">
        <f t="shared" si="0"/>
        <v>45349</v>
      </c>
      <c r="N12" s="41">
        <f>'[1]1º TRIMESTRE'!N12</f>
        <v>0</v>
      </c>
      <c r="O12" s="42">
        <f>'[1]1º TRIMESTRE'!O12</f>
        <v>750887.05</v>
      </c>
      <c r="P12" s="37">
        <f>'[1]1º TRIMESTRE'!P12</f>
        <v>415735.52</v>
      </c>
      <c r="Q12" s="37" t="str">
        <f>'[1]1º TRIMESTRE'!Q12</f>
        <v>4.4.90.39</v>
      </c>
      <c r="R12" s="42">
        <f>'[1]1º TRIMESTRE'!R12</f>
        <v>4479518.3099999996</v>
      </c>
      <c r="S12" s="42">
        <v>0</v>
      </c>
      <c r="T12" s="42">
        <f>'[1]1º TRIMESTRE'!T12+S12</f>
        <v>77633.38</v>
      </c>
      <c r="U12" s="42">
        <f>'[1]1º TRIMESTRE'!U12+S12</f>
        <v>4479518.3099999996</v>
      </c>
      <c r="V12" s="37" t="str">
        <f>'[1]1º TRIMESTRE'!V12</f>
        <v>andamento</v>
      </c>
    </row>
    <row r="13" spans="1:35" ht="56.25" x14ac:dyDescent="0.25">
      <c r="A13" s="35" t="str">
        <f>'[1]1º TRIMESTRE'!A13</f>
        <v>CONCORRÊNCIA Licitação: 023/2022</v>
      </c>
      <c r="B13" s="35" t="str">
        <f>'[1]1º TRIMESTRE'!B13</f>
        <v>SERVIÇOS DE MANUTENÇÃO CORRETIVA (OPERAÇÃO TAPA BURACO) EM CONCRETO BETUMINOSO USINADO À QUENTE - CBUQ, EM CONCRETO PRÉ MISTURADO A FRIO - PMF, DO SISTEMA VIÁRIO DA CIDADE DO RECIFE. LOTE III - RPA 04 E 05</v>
      </c>
      <c r="C13" s="36">
        <v>0</v>
      </c>
      <c r="D13" s="37">
        <v>0</v>
      </c>
      <c r="E13" s="37">
        <v>0</v>
      </c>
      <c r="F13" s="37">
        <v>0</v>
      </c>
      <c r="G13" s="38" t="str">
        <f>'[1]1º TRIMESTRE'!G13</f>
        <v>00.999.591/0001-52</v>
      </c>
      <c r="H13" s="38" t="str">
        <f>'[1]1º TRIMESTRE'!H13</f>
        <v xml:space="preserve">AGC CONSTRUTORA E EMPREENDIMENTOS LTDA      </v>
      </c>
      <c r="I13" s="37" t="str">
        <f>'[1]1º TRIMESTRE'!I13</f>
        <v>6-003/23</v>
      </c>
      <c r="J13" s="39">
        <f>'[1]1º TRIMESTRE'!J13</f>
        <v>44928</v>
      </c>
      <c r="K13" s="40">
        <f>'[1]1º TRIMESTRE'!K13</f>
        <v>1125</v>
      </c>
      <c r="L13" s="37">
        <f>'[1]1º TRIMESTRE'!L13</f>
        <v>23425634.329999998</v>
      </c>
      <c r="M13" s="39">
        <f t="shared" si="0"/>
        <v>46053</v>
      </c>
      <c r="N13" s="41">
        <f>'[1]1º TRIMESTRE'!N13</f>
        <v>0</v>
      </c>
      <c r="O13" s="42">
        <f>'[1]1º TRIMESTRE'!O13+221146.36</f>
        <v>221146.36</v>
      </c>
      <c r="P13" s="37">
        <f>'[1]1º TRIMESTRE'!P13</f>
        <v>768686.92</v>
      </c>
      <c r="Q13" s="37" t="str">
        <f>'[1]1º TRIMESTRE'!Q13</f>
        <v>3.3.90.39</v>
      </c>
      <c r="R13" s="42">
        <f>'[1]1º TRIMESTRE'!R13+1231959.65</f>
        <v>7420562.5499999989</v>
      </c>
      <c r="S13" s="42">
        <v>1250467.8</v>
      </c>
      <c r="T13" s="42">
        <f>'[1]1º TRIMESTRE'!T13+S13</f>
        <v>2190246.5699999998</v>
      </c>
      <c r="U13" s="42">
        <f>'[1]1º TRIMESTRE'!U13+S13</f>
        <v>7408225.0199999986</v>
      </c>
      <c r="V13" s="37" t="str">
        <f>'[1]1º TRIMESTRE'!V13</f>
        <v>andamento</v>
      </c>
    </row>
    <row r="14" spans="1:35" ht="56.25" x14ac:dyDescent="0.25">
      <c r="A14" s="35" t="str">
        <f>'[1]1º TRIMESTRE'!A14</f>
        <v>CONCORRÊNCIA Licitação: 023/2022</v>
      </c>
      <c r="B14" s="35" t="str">
        <f>'[1]1º TRIMESTRE'!B14</f>
        <v>SERVIÇOS DE MANUTENÇÃO CORRETIVA (OPERAÇÃO TAPA BURACO) EM CONCRETO BETUMINOSO USINADO À QUENTE - CBUQ, EM CONCRETO PRÉ MISTURADO A FRIO - PMF, DO SISTEMA VIÁRIO DA CIDADE DO RECIFE. LOTE IV - RPA 06</v>
      </c>
      <c r="C14" s="36">
        <v>0</v>
      </c>
      <c r="D14" s="37">
        <v>0</v>
      </c>
      <c r="E14" s="37">
        <v>0</v>
      </c>
      <c r="F14" s="37">
        <v>0</v>
      </c>
      <c r="G14" s="38" t="str">
        <f>'[1]1º TRIMESTRE'!G14</f>
        <v>40.882.060/0001-08</v>
      </c>
      <c r="H14" s="38" t="str">
        <f>'[1]1º TRIMESTRE'!H14</f>
        <v>LIDERMAC CONSTRUCOES E EQUIPAMENTOS LTDA</v>
      </c>
      <c r="I14" s="37" t="str">
        <f>'[1]1º TRIMESTRE'!I14</f>
        <v>6-004/23</v>
      </c>
      <c r="J14" s="39">
        <f>'[1]1º TRIMESTRE'!J14</f>
        <v>44952</v>
      </c>
      <c r="K14" s="40">
        <f>'[1]1º TRIMESTRE'!K14</f>
        <v>1125</v>
      </c>
      <c r="L14" s="37">
        <f>'[1]1º TRIMESTRE'!L14</f>
        <v>20802547.25</v>
      </c>
      <c r="M14" s="39">
        <f t="shared" si="0"/>
        <v>46077</v>
      </c>
      <c r="N14" s="41">
        <f>'[1]1º TRIMESTRE'!N14</f>
        <v>0</v>
      </c>
      <c r="O14" s="42">
        <f>'[1]1º TRIMESTRE'!O14</f>
        <v>0</v>
      </c>
      <c r="P14" s="37">
        <f>'[1]1º TRIMESTRE'!P14+683080.01</f>
        <v>683080.01</v>
      </c>
      <c r="Q14" s="37" t="str">
        <f>'[1]1º TRIMESTRE'!Q14</f>
        <v>3.3.90.39</v>
      </c>
      <c r="R14" s="42">
        <f>'[1]1º TRIMESTRE'!R14+877525.82</f>
        <v>4402833.9000000004</v>
      </c>
      <c r="S14" s="42">
        <v>868701.38</v>
      </c>
      <c r="T14" s="42">
        <f>'[1]1º TRIMESTRE'!T14+S14</f>
        <v>1615143.71</v>
      </c>
      <c r="U14" s="42">
        <f>'[1]1º TRIMESTRE'!U14+S14</f>
        <v>4394009.46</v>
      </c>
      <c r="V14" s="37" t="str">
        <f>'[1]1º TRIMESTRE'!V14</f>
        <v>andamento</v>
      </c>
    </row>
    <row r="15" spans="1:35" ht="45" x14ac:dyDescent="0.25">
      <c r="A15" s="35" t="str">
        <f>'[1]1º TRIMESTRE'!A15</f>
        <v>CONCORRÊNCIA Licitação: 022/2022</v>
      </c>
      <c r="B15" s="35" t="str">
        <f>'[1]1º TRIMESTRE'!B15</f>
        <v>EXECUÇÃO DE OBRAS DE IMPLANTAÇÃO DE DRENAGEM PLUVIAL E PAVIMENTAÇÃO DE RUAS DA CIDADE DO RECIFE, LOCALIZADAS NOS BAIRROS DE SÍTIO DOS PINTOS, BOA VIAGEM E POÇO DA PANELA.    LOTE I</v>
      </c>
      <c r="C15" s="36" t="s">
        <v>35</v>
      </c>
      <c r="D15" s="37" t="s">
        <v>36</v>
      </c>
      <c r="E15" s="37">
        <v>0</v>
      </c>
      <c r="F15" s="37">
        <v>0</v>
      </c>
      <c r="G15" s="38" t="str">
        <f>'[1]1º TRIMESTRE'!G15</f>
        <v>07.157.925/0001-90</v>
      </c>
      <c r="H15" s="38" t="str">
        <f>'[1]1º TRIMESTRE'!H15</f>
        <v>WB CONSTRUTORA LTDA</v>
      </c>
      <c r="I15" s="37" t="str">
        <f>'[1]1º TRIMESTRE'!I15</f>
        <v>6-009/23</v>
      </c>
      <c r="J15" s="39">
        <f>'[1]1º TRIMESTRE'!J15</f>
        <v>44967</v>
      </c>
      <c r="K15" s="40">
        <f>'[1]1º TRIMESTRE'!K15</f>
        <v>300</v>
      </c>
      <c r="L15" s="37">
        <f>'[1]1º TRIMESTRE'!L15</f>
        <v>5670580.4299999997</v>
      </c>
      <c r="M15" s="39">
        <f t="shared" si="0"/>
        <v>45447</v>
      </c>
      <c r="N15" s="41">
        <f>'[1]1º TRIMESTRE'!N15</f>
        <v>180</v>
      </c>
      <c r="O15" s="42">
        <f>'[1]1º TRIMESTRE'!O15</f>
        <v>203807.51</v>
      </c>
      <c r="P15" s="37">
        <f>'[1]1º TRIMESTRE'!P15</f>
        <v>0</v>
      </c>
      <c r="Q15" s="37" t="str">
        <f>'[1]1º TRIMESTRE'!Q15</f>
        <v>4.4.90.39</v>
      </c>
      <c r="R15" s="42">
        <f>'[1]1º TRIMESTRE'!R15+1373282.96</f>
        <v>4823712.9000000004</v>
      </c>
      <c r="S15" s="42">
        <v>1373282.96</v>
      </c>
      <c r="T15" s="42">
        <f>'[1]1º TRIMESTRE'!T15+S15</f>
        <v>1522890.19</v>
      </c>
      <c r="U15" s="42">
        <f>'[1]1º TRIMESTRE'!U15+S15</f>
        <v>4823712.9000000004</v>
      </c>
      <c r="V15" s="37" t="str">
        <f>'[1]1º TRIMESTRE'!V15</f>
        <v>andamento</v>
      </c>
    </row>
    <row r="16" spans="1:35" ht="45" x14ac:dyDescent="0.25">
      <c r="A16" s="35" t="str">
        <f>'[1]1º TRIMESTRE'!A16</f>
        <v>CONCORRÊNCIA Licitação: 025/2022</v>
      </c>
      <c r="B16" s="35" t="str">
        <f>'[1]1º TRIMESTRE'!B16</f>
        <v>EXECUÇÃO DOS SERVIÇOS DE IMPLANTAÇÃO DA REDE DE DRENAGEM DE ÁGUAS PLUVIAIS E PAVIMENTAÇÃO DE VIAS EM DIVERSAS RPA'S DA CIDADE DO RECIFE</v>
      </c>
      <c r="C16" s="36" t="s">
        <v>35</v>
      </c>
      <c r="D16" s="37" t="s">
        <v>36</v>
      </c>
      <c r="E16" s="37">
        <v>0</v>
      </c>
      <c r="F16" s="37">
        <v>0</v>
      </c>
      <c r="G16" s="38" t="str">
        <f>'[1]1º TRIMESTRE'!G16</f>
        <v>03.400.040/0001-19</v>
      </c>
      <c r="H16" s="38" t="str">
        <f>'[1]1º TRIMESTRE'!H16</f>
        <v>TOPEC EMPREENDIMENTOS E SERVICOS LTDA</v>
      </c>
      <c r="I16" s="37" t="str">
        <f>'[1]1º TRIMESTRE'!I16</f>
        <v>6-011/23</v>
      </c>
      <c r="J16" s="39">
        <f>'[1]1º TRIMESTRE'!J16</f>
        <v>44966</v>
      </c>
      <c r="K16" s="40">
        <f>'[1]1º TRIMESTRE'!K16</f>
        <v>210</v>
      </c>
      <c r="L16" s="37">
        <f>'[1]1º TRIMESTRE'!L16</f>
        <v>7809500.1100000003</v>
      </c>
      <c r="M16" s="39">
        <f t="shared" si="0"/>
        <v>45531</v>
      </c>
      <c r="N16" s="41">
        <f>'[1]1º TRIMESTRE'!N16+120</f>
        <v>355</v>
      </c>
      <c r="O16" s="42">
        <f>'[1]1º TRIMESTRE'!O16</f>
        <v>1946467.95</v>
      </c>
      <c r="P16" s="37">
        <f>'[1]1º TRIMESTRE'!P16</f>
        <v>-26800.04</v>
      </c>
      <c r="Q16" s="37" t="str">
        <f>'[1]1º TRIMESTRE'!Q16</f>
        <v>4.4.90.39</v>
      </c>
      <c r="R16" s="42">
        <f>'[1]1º TRIMESTRE'!R16+525959.76</f>
        <v>9131967.3099999987</v>
      </c>
      <c r="S16" s="42">
        <v>674997.41</v>
      </c>
      <c r="T16" s="42">
        <f>'[1]1º TRIMESTRE'!T16+S16</f>
        <v>1195328.3400000001</v>
      </c>
      <c r="U16" s="42">
        <f>'[1]1º TRIMESTRE'!U16+S16</f>
        <v>9066534.7300000004</v>
      </c>
      <c r="V16" s="37" t="str">
        <f>'[1]1º TRIMESTRE'!V16</f>
        <v>andamento</v>
      </c>
    </row>
    <row r="17" spans="1:22" ht="45" x14ac:dyDescent="0.25">
      <c r="A17" s="35" t="str">
        <f>'[1]1º TRIMESTRE'!A17</f>
        <v>Pregão Eletrônico Licitação: 002/2022</v>
      </c>
      <c r="B17" s="35" t="str">
        <f>'[1]1º TRIMESTRE'!B17</f>
        <v>CONTRATAÇÃO DE PESSOA S JURÍDICA S ESPECIALIZADA EM ENGENHARIA SANITÁRIA PARA RECEBIMENTO, TRATAMENTO E DISPOSIÇÃO FINAL DE RESÍDUOS DE CONSTRUÇÃO RCC CLASSE A INERTE COLETADOS PELA EMLURB NO MUNICÍPIO DO RECIFE</v>
      </c>
      <c r="C17" s="36">
        <v>0</v>
      </c>
      <c r="D17" s="37">
        <v>0</v>
      </c>
      <c r="E17" s="37">
        <v>0</v>
      </c>
      <c r="F17" s="37">
        <v>0</v>
      </c>
      <c r="G17" s="38" t="str">
        <f>'[1]1º TRIMESTRE'!G17</f>
        <v>10.877.732/0001-18</v>
      </c>
      <c r="H17" s="38" t="str">
        <f>'[1]1º TRIMESTRE'!H17</f>
        <v>CICLO AMBIENTAL LTDA</v>
      </c>
      <c r="I17" s="37" t="str">
        <f>'[1]1º TRIMESTRE'!I17</f>
        <v>6-012/22</v>
      </c>
      <c r="J17" s="39">
        <f>'[1]1º TRIMESTRE'!J17</f>
        <v>44635</v>
      </c>
      <c r="K17" s="40">
        <f>'[1]1º TRIMESTRE'!K17</f>
        <v>1890</v>
      </c>
      <c r="L17" s="37">
        <f>'[1]1º TRIMESTRE'!L17</f>
        <v>28992600</v>
      </c>
      <c r="M17" s="39">
        <f t="shared" si="0"/>
        <v>46525</v>
      </c>
      <c r="N17" s="41">
        <f>'[1]1º TRIMESTRE'!N17</f>
        <v>0</v>
      </c>
      <c r="O17" s="42">
        <f>'[1]1º TRIMESTRE'!O17</f>
        <v>0</v>
      </c>
      <c r="P17" s="37">
        <f>'[1]1º TRIMESTRE'!P17</f>
        <v>2496000</v>
      </c>
      <c r="Q17" s="37" t="str">
        <f>'[1]1º TRIMESTRE'!Q17</f>
        <v>3.3.90.39</v>
      </c>
      <c r="R17" s="42">
        <f>'[1]1º TRIMESTRE'!R17+2876400.84</f>
        <v>18582637.300000001</v>
      </c>
      <c r="S17" s="42">
        <v>2876400.84</v>
      </c>
      <c r="T17" s="42">
        <f>'[1]1º TRIMESTRE'!T17+S17</f>
        <v>5497941.8200000003</v>
      </c>
      <c r="U17" s="42">
        <f>'[1]1º TRIMESTRE'!U17+S17</f>
        <v>18582637.300000001</v>
      </c>
      <c r="V17" s="37" t="str">
        <f>'[1]1º TRIMESTRE'!V17</f>
        <v>andamento</v>
      </c>
    </row>
    <row r="18" spans="1:22" ht="56.25" x14ac:dyDescent="0.25">
      <c r="A18" s="35" t="str">
        <f>'[1]1º TRIMESTRE'!A18</f>
        <v>TOMADA DE PREÇOS Licitação: 007/2022</v>
      </c>
      <c r="B18" s="35" t="str">
        <f>'[1]1º TRIMESTRE'!B18</f>
        <v>CONTRATAÇÃO DE EMPRESA DE ENGENHARIA CONSULTIVA, ESPECIALIZADA EM PROJETO DE ILUMINAÇÃO CÊNICA E ARQUITETURAL, PARA DESENVOLVIMENTO DE ESTUDOS E ELABORAÇÃO DE PROJETOS DE ILUMINAÇÃO DE PRAÇAS, EDIFICAÇÕES E MONUMENTOS HISTÓRICOS DA CIDADE DO RECIFE</v>
      </c>
      <c r="C18" s="36">
        <v>0</v>
      </c>
      <c r="D18" s="37">
        <v>0</v>
      </c>
      <c r="E18" s="37">
        <v>0</v>
      </c>
      <c r="F18" s="37">
        <v>0</v>
      </c>
      <c r="G18" s="38" t="str">
        <f>'[1]1º TRIMESTRE'!G18</f>
        <v>13.392.132/0001-58</v>
      </c>
      <c r="H18" s="38" t="str">
        <f>'[1]1º TRIMESTRE'!H18</f>
        <v>CRX ENGENHARIA LTDA - EPP</v>
      </c>
      <c r="I18" s="37" t="str">
        <f>'[1]1º TRIMESTRE'!I18</f>
        <v>6-013/23</v>
      </c>
      <c r="J18" s="39">
        <f>'[1]1º TRIMESTRE'!J18</f>
        <v>44967</v>
      </c>
      <c r="K18" s="40">
        <f>'[1]1º TRIMESTRE'!K18</f>
        <v>395</v>
      </c>
      <c r="L18" s="37">
        <f>'[1]1º TRIMESTRE'!L18</f>
        <v>899176.09</v>
      </c>
      <c r="M18" s="39">
        <f t="shared" si="0"/>
        <v>45452</v>
      </c>
      <c r="N18" s="41">
        <f>'[1]1º TRIMESTRE'!N18+90</f>
        <v>90</v>
      </c>
      <c r="O18" s="42">
        <f>'[1]1º TRIMESTRE'!O18</f>
        <v>0</v>
      </c>
      <c r="P18" s="37">
        <f>'[1]1º TRIMESTRE'!P18</f>
        <v>0</v>
      </c>
      <c r="Q18" s="37" t="str">
        <f>'[1]1º TRIMESTRE'!Q18</f>
        <v>3.3.90.39</v>
      </c>
      <c r="R18" s="42">
        <f>'[1]1º TRIMESTRE'!R18+410678.94</f>
        <v>899175.79</v>
      </c>
      <c r="S18" s="42">
        <v>410678.94</v>
      </c>
      <c r="T18" s="42">
        <f>'[1]1º TRIMESTRE'!T18+S18</f>
        <v>578174.82999999996</v>
      </c>
      <c r="U18" s="42">
        <f>'[1]1º TRIMESTRE'!U18+S18</f>
        <v>899175.79</v>
      </c>
      <c r="V18" s="37" t="str">
        <f>'[1]1º TRIMESTRE'!V18</f>
        <v>andamento</v>
      </c>
    </row>
    <row r="19" spans="1:22" ht="33.75" x14ac:dyDescent="0.25">
      <c r="A19" s="35" t="str">
        <f>'[1]1º TRIMESTRE'!A19</f>
        <v>concorrência /nº 001/2021</v>
      </c>
      <c r="B19" s="35" t="str">
        <f>'[1]1º TRIMESTRE'!B19</f>
        <v>CONTRATACAO DE EMPRESA DE ENGENHARIA ESPECIALIZADA. PARA A OPERACAO. AUTOMACAO E MANUTENCAO ELETRICA E MECANICA DAS ESTACOES DE BOMBEAMENTO E COMPORTAS DA CIDADE DO RECIFE</v>
      </c>
      <c r="C19" s="36">
        <v>0</v>
      </c>
      <c r="D19" s="37">
        <v>0</v>
      </c>
      <c r="E19" s="37">
        <v>0</v>
      </c>
      <c r="F19" s="37">
        <v>0</v>
      </c>
      <c r="G19" s="38" t="str">
        <f>'[1]1º TRIMESTRE'!G19</f>
        <v>41.116.138/0001-38</v>
      </c>
      <c r="H19" s="38" t="str">
        <f>'[1]1º TRIMESTRE'!H19</f>
        <v>REAL ENERGY LTDA</v>
      </c>
      <c r="I19" s="37" t="str">
        <f>'[1]1º TRIMESTRE'!I19</f>
        <v>6-014/21</v>
      </c>
      <c r="J19" s="39">
        <f>'[1]1º TRIMESTRE'!J19</f>
        <v>44347</v>
      </c>
      <c r="K19" s="40">
        <f>'[1]1º TRIMESTRE'!K19</f>
        <v>790</v>
      </c>
      <c r="L19" s="37">
        <f>'[1]1º TRIMESTRE'!L19</f>
        <v>3652773.14</v>
      </c>
      <c r="M19" s="39">
        <f t="shared" si="0"/>
        <v>45430</v>
      </c>
      <c r="N19" s="41">
        <f>'[1]1º TRIMESTRE'!N19</f>
        <v>293</v>
      </c>
      <c r="O19" s="42">
        <f>'[1]1º TRIMESTRE'!O19</f>
        <v>979736.71</v>
      </c>
      <c r="P19" s="37">
        <f>'[1]1º TRIMESTRE'!P19</f>
        <v>418590.06</v>
      </c>
      <c r="Q19" s="37" t="str">
        <f>'[1]1º TRIMESTRE'!Q19</f>
        <v>3.3.90.39</v>
      </c>
      <c r="R19" s="42">
        <f>'[1]1º TRIMESTRE'!R19</f>
        <v>3834340.9699999997</v>
      </c>
      <c r="S19" s="42">
        <v>0</v>
      </c>
      <c r="T19" s="42">
        <f>'[1]1º TRIMESTRE'!T19+S19</f>
        <v>135000.91999999998</v>
      </c>
      <c r="U19" s="42">
        <f>'[1]1º TRIMESTRE'!U19+S19</f>
        <v>3834340.97</v>
      </c>
      <c r="V19" s="37" t="s">
        <v>37</v>
      </c>
    </row>
    <row r="20" spans="1:22" ht="33.75" x14ac:dyDescent="0.25">
      <c r="A20" s="35" t="str">
        <f>'[1]1º TRIMESTRE'!A20</f>
        <v>INEX 002/2023</v>
      </c>
      <c r="B20" s="35" t="str">
        <f>'[1]1º TRIMESTRE'!B20</f>
        <v>CONTRATAÇÃO DE EMPRESA PARA PRESTAÇÃO DO SERVIÇO DE LIMPEZA DE CANAL UTILIZANDO-SE DO PROCESSO DE BARRAGEM MÓVEL EM DIVERSOS CANAIS DA CIDADE DO RECIFE</v>
      </c>
      <c r="C20" s="36">
        <v>0</v>
      </c>
      <c r="D20" s="37">
        <v>0</v>
      </c>
      <c r="E20" s="37">
        <v>0</v>
      </c>
      <c r="F20" s="37">
        <v>0</v>
      </c>
      <c r="G20" s="38" t="str">
        <f>'[1]1º TRIMESTRE'!G20</f>
        <v>03.366.083/0001-25</v>
      </c>
      <c r="H20" s="38" t="str">
        <f>'[1]1º TRIMESTRE'!H20</f>
        <v>HIDROMAX CONSTRUÇOES LTDA</v>
      </c>
      <c r="I20" s="37" t="str">
        <f>'[1]1º TRIMESTRE'!I20</f>
        <v>6-015/23</v>
      </c>
      <c r="J20" s="39">
        <f>'[1]1º TRIMESTRE'!J20</f>
        <v>44973</v>
      </c>
      <c r="K20" s="40">
        <f>'[1]1º TRIMESTRE'!K20</f>
        <v>730</v>
      </c>
      <c r="L20" s="37">
        <f>'[1]1º TRIMESTRE'!L20</f>
        <v>4873574.38</v>
      </c>
      <c r="M20" s="39">
        <f t="shared" si="0"/>
        <v>45703</v>
      </c>
      <c r="N20" s="41">
        <f>'[1]1º TRIMESTRE'!N20</f>
        <v>0</v>
      </c>
      <c r="O20" s="42">
        <f>'[1]1º TRIMESTRE'!O20</f>
        <v>0</v>
      </c>
      <c r="P20" s="37">
        <f>'[1]1º TRIMESTRE'!P20</f>
        <v>0</v>
      </c>
      <c r="Q20" s="37" t="str">
        <f>'[1]1º TRIMESTRE'!Q20</f>
        <v>3.3.90.39</v>
      </c>
      <c r="R20" s="42">
        <f>'[1]1º TRIMESTRE'!R20+483034.36</f>
        <v>2283143.7000000002</v>
      </c>
      <c r="S20" s="42">
        <v>442976.01</v>
      </c>
      <c r="T20" s="42">
        <f>'[1]1º TRIMESTRE'!T20+S20</f>
        <v>986140.59</v>
      </c>
      <c r="U20" s="42">
        <f>'[1]1º TRIMESTRE'!U20+S20</f>
        <v>2243085.3499999996</v>
      </c>
      <c r="V20" s="37" t="str">
        <f>'[1]1º TRIMESTRE'!V20</f>
        <v>andamento</v>
      </c>
    </row>
    <row r="21" spans="1:22" ht="56.25" x14ac:dyDescent="0.25">
      <c r="A21" s="35" t="str">
        <f>'[1]1º TRIMESTRE'!A21</f>
        <v>DISP 003/2020</v>
      </c>
      <c r="B21" s="35" t="str">
        <f>'[1]1º TRIMESTRE'!B21</f>
        <v>MONITORAMENTO AMBIENTAL DO ATERRO CONTROLADO DA MURIBECA E SERVIÇOS DE CONSULTORIA TECNOLÓGICA PARA TRATAMENTO DE RESÍDUOS SÓLIDOS URBANOS</v>
      </c>
      <c r="C21" s="36">
        <v>0</v>
      </c>
      <c r="D21" s="37">
        <v>0</v>
      </c>
      <c r="E21" s="37">
        <v>0</v>
      </c>
      <c r="F21" s="37">
        <v>0</v>
      </c>
      <c r="G21" s="38" t="str">
        <f>'[1]1º TRIMESTRE'!G21</f>
        <v>11.187.606/0001-02</v>
      </c>
      <c r="H21" s="38" t="str">
        <f>'[1]1º TRIMESTRE'!H21</f>
        <v xml:space="preserve">ATEPE ASSOCIACAO TECNOLOGICA DE PERNAMBUCO                  </v>
      </c>
      <c r="I21" s="37" t="str">
        <f>'[1]1º TRIMESTRE'!I21</f>
        <v>6-018/20</v>
      </c>
      <c r="J21" s="39">
        <f>'[1]1º TRIMESTRE'!J21</f>
        <v>44007</v>
      </c>
      <c r="K21" s="40">
        <f>'[1]1º TRIMESTRE'!K21</f>
        <v>365</v>
      </c>
      <c r="L21" s="37">
        <f>'[1]1º TRIMESTRE'!L21</f>
        <v>251180</v>
      </c>
      <c r="M21" s="39">
        <f t="shared" si="0"/>
        <v>45469</v>
      </c>
      <c r="N21" s="41">
        <f>'[1]1º TRIMESTRE'!N21</f>
        <v>1097</v>
      </c>
      <c r="O21" s="42">
        <f>'[1]1º TRIMESTRE'!O21</f>
        <v>777540</v>
      </c>
      <c r="P21" s="37">
        <f>'[1]1º TRIMESTRE'!P21</f>
        <v>0</v>
      </c>
      <c r="Q21" s="37" t="str">
        <f>'[1]1º TRIMESTRE'!Q21</f>
        <v>3.3.90.39</v>
      </c>
      <c r="R21" s="42">
        <f>'[1]1º TRIMESTRE'!R21+49170</f>
        <v>740921.1</v>
      </c>
      <c r="S21" s="42">
        <v>49170</v>
      </c>
      <c r="T21" s="42">
        <f>'[1]1º TRIMESTRE'!T21+S21</f>
        <v>90480</v>
      </c>
      <c r="U21" s="42">
        <f>'[1]1º TRIMESTRE'!U21+S21</f>
        <v>740921.1</v>
      </c>
      <c r="V21" s="37" t="str">
        <f>'[1]1º TRIMESTRE'!V21</f>
        <v>andamento</v>
      </c>
    </row>
    <row r="22" spans="1:22" ht="56.25" x14ac:dyDescent="0.25">
      <c r="A22" s="35" t="str">
        <f>'[1]1º TRIMESTRE'!A22</f>
        <v>CONCORRÊNCIA Licitação: 021/2022</v>
      </c>
      <c r="B22" s="35" t="str">
        <f>'[1]1º TRIMESTRE'!B22</f>
        <v>EXECUÇÃO DOS SERVIÇOS DE IMPLANTAÇÃO DA REDE DE DRENAGEM COM A UTILIZAÇÃO DE TUBOS DE PEAD, E COBERTURA COM PAVIMENTO RÍGIDO OU FLEXÍVEL - LOTE I</v>
      </c>
      <c r="C22" s="36" t="s">
        <v>35</v>
      </c>
      <c r="D22" s="37" t="s">
        <v>36</v>
      </c>
      <c r="E22" s="37">
        <v>0</v>
      </c>
      <c r="F22" s="37">
        <v>0</v>
      </c>
      <c r="G22" s="38" t="str">
        <f>'[1]1º TRIMESTRE'!G22</f>
        <v>06.204.246/0001-61</v>
      </c>
      <c r="H22" s="38" t="str">
        <f>'[1]1º TRIMESTRE'!H22</f>
        <v>ECAM TERRAPLENAGEM E PAVIMENTACAO LTDA</v>
      </c>
      <c r="I22" s="37" t="str">
        <f>'[1]1º TRIMESTRE'!I22</f>
        <v>6-018/23</v>
      </c>
      <c r="J22" s="39">
        <f>'[1]1º TRIMESTRE'!J22</f>
        <v>45013</v>
      </c>
      <c r="K22" s="40">
        <f>'[1]1º TRIMESTRE'!K22</f>
        <v>210</v>
      </c>
      <c r="L22" s="37">
        <f>'[1]1º TRIMESTRE'!L22</f>
        <v>6629049.9699999997</v>
      </c>
      <c r="M22" s="39">
        <f t="shared" si="0"/>
        <v>45463</v>
      </c>
      <c r="N22" s="41">
        <f>'[1]1º TRIMESTRE'!N22+60</f>
        <v>240</v>
      </c>
      <c r="O22" s="42">
        <f>'[1]1º TRIMESTRE'!O22</f>
        <v>1566148.85</v>
      </c>
      <c r="P22" s="37">
        <f>'[1]1º TRIMESTRE'!P22</f>
        <v>0</v>
      </c>
      <c r="Q22" s="37" t="str">
        <f>'[1]1º TRIMESTRE'!Q22</f>
        <v>4.4.90.39</v>
      </c>
      <c r="R22" s="42">
        <f>'[1]1º TRIMESTRE'!R22+321030.63</f>
        <v>7456143.8999999994</v>
      </c>
      <c r="S22" s="42">
        <v>363565.03</v>
      </c>
      <c r="T22" s="42">
        <f>'[1]1º TRIMESTRE'!T22+S22</f>
        <v>1368449.65</v>
      </c>
      <c r="U22" s="42">
        <f>'[1]1º TRIMESTRE'!U22+S22</f>
        <v>7456143.9000000004</v>
      </c>
      <c r="V22" s="37" t="str">
        <f>'[1]1º TRIMESTRE'!V22</f>
        <v>andamento</v>
      </c>
    </row>
    <row r="23" spans="1:22" ht="33.75" x14ac:dyDescent="0.25">
      <c r="A23" s="35" t="str">
        <f>'[1]1º TRIMESTRE'!A23</f>
        <v>CONCORRÊNCIA Licitação: 021/2022</v>
      </c>
      <c r="B23" s="35" t="str">
        <f>'[1]1º TRIMESTRE'!B23</f>
        <v>EXECUÇÃO DOS SERVIÇOS DE IMPLANTAÇÃO DA REDE DE DRENAGEM COM A UTILIZAÇÃO DE TUBOS DE PEAD, E COBERTURA COM PAVIMENTO RÍGIDO OU FLEXÍVEL - LOTE II</v>
      </c>
      <c r="C23" s="36" t="s">
        <v>35</v>
      </c>
      <c r="D23" s="37" t="s">
        <v>36</v>
      </c>
      <c r="E23" s="37">
        <v>0</v>
      </c>
      <c r="F23" s="37">
        <v>0</v>
      </c>
      <c r="G23" s="38" t="str">
        <f>'[1]1º TRIMESTRE'!G23</f>
        <v>07.157.925/0001-90</v>
      </c>
      <c r="H23" s="38" t="str">
        <f>'[1]1º TRIMESTRE'!H23</f>
        <v>WB CONSTRUTORA LTDA</v>
      </c>
      <c r="I23" s="37" t="str">
        <f>'[1]1º TRIMESTRE'!I23</f>
        <v>6-019/23</v>
      </c>
      <c r="J23" s="39">
        <f>'[1]1º TRIMESTRE'!J23</f>
        <v>45013</v>
      </c>
      <c r="K23" s="40">
        <f>'[1]1º TRIMESTRE'!K23</f>
        <v>210</v>
      </c>
      <c r="L23" s="37">
        <f>'[1]1º TRIMESTRE'!L23</f>
        <v>8475019.2100000009</v>
      </c>
      <c r="M23" s="39">
        <f t="shared" si="0"/>
        <v>45529</v>
      </c>
      <c r="N23" s="41">
        <f>'[1]1º TRIMESTRE'!N23+60</f>
        <v>306</v>
      </c>
      <c r="O23" s="42">
        <f>'[1]1º TRIMESTRE'!O23+654919.61</f>
        <v>2118501.92</v>
      </c>
      <c r="P23" s="37">
        <f>'[1]1º TRIMESTRE'!P23</f>
        <v>0</v>
      </c>
      <c r="Q23" s="37" t="str">
        <f>'[1]1º TRIMESTRE'!Q23</f>
        <v>4.4.90.39</v>
      </c>
      <c r="R23" s="42">
        <f>'[1]1º TRIMESTRE'!R23+2189163.32</f>
        <v>9935069.5899999999</v>
      </c>
      <c r="S23" s="42">
        <v>2189163.3199999998</v>
      </c>
      <c r="T23" s="42">
        <f>'[1]1º TRIMESTRE'!T23+S23</f>
        <v>3047300.9</v>
      </c>
      <c r="U23" s="42">
        <f>'[1]1º TRIMESTRE'!U23+S23</f>
        <v>9935069.5899999999</v>
      </c>
      <c r="V23" s="37" t="str">
        <f>'[1]1º TRIMESTRE'!V23</f>
        <v>andamento</v>
      </c>
    </row>
    <row r="24" spans="1:22" ht="45" x14ac:dyDescent="0.25">
      <c r="A24" s="35" t="str">
        <f>'[1]1º TRIMESTRE'!A24</f>
        <v>PREGÃO ELETRÔNICO Licitação: 006/2022</v>
      </c>
      <c r="B24" s="35" t="str">
        <f>'[1]1º TRIMESTRE'!B24</f>
        <v>CONTRATAÇÃO DE EMPRESA ESPECIALIZADA EM SERVIÇOS DE ENGENHARIA AGRONÔMICA COM FINS DE EXECUÇÃO DE SERVIÇOS DE MANUTENÇÃO DO ARBORETO URBANO DAS VIAS PÚBLICAS, PARQUES, PRAÇAS E DEMAIS ÁREAS VERDES DA CIDADE DO RECIFE</v>
      </c>
      <c r="C24" s="36">
        <v>0</v>
      </c>
      <c r="D24" s="37">
        <v>0</v>
      </c>
      <c r="E24" s="37">
        <v>0</v>
      </c>
      <c r="F24" s="37">
        <v>0</v>
      </c>
      <c r="G24" s="38" t="str">
        <f>'[1]1º TRIMESTRE'!G24</f>
        <v>00.449.936/0001-02</v>
      </c>
      <c r="H24" s="38" t="str">
        <f>'[1]1º TRIMESTRE'!H24</f>
        <v>ENGEMAIA E CIA LTDA</v>
      </c>
      <c r="I24" s="37" t="str">
        <f>'[1]1º TRIMESTRE'!I24</f>
        <v>6-020/22</v>
      </c>
      <c r="J24" s="39">
        <f>'[1]1º TRIMESTRE'!J24</f>
        <v>44678</v>
      </c>
      <c r="K24" s="40">
        <f>'[1]1º TRIMESTRE'!K24</f>
        <v>1216</v>
      </c>
      <c r="L24" s="37">
        <f>'[1]1º TRIMESTRE'!L24</f>
        <v>56414995.560000002</v>
      </c>
      <c r="M24" s="39">
        <f t="shared" si="0"/>
        <v>45894</v>
      </c>
      <c r="N24" s="41">
        <f>'[1]1º TRIMESTRE'!N24</f>
        <v>0</v>
      </c>
      <c r="O24" s="42">
        <f>'[1]1º TRIMESTRE'!O24</f>
        <v>7377649.3799999999</v>
      </c>
      <c r="P24" s="37">
        <f>'[1]1º TRIMESTRE'!P24</f>
        <v>5651587.0800000001</v>
      </c>
      <c r="Q24" s="37" t="str">
        <f>'[1]1º TRIMESTRE'!Q24</f>
        <v>3.3.90.39</v>
      </c>
      <c r="R24" s="42">
        <f>'[1]1º TRIMESTRE'!R24+6012862.46</f>
        <v>43498404.329999998</v>
      </c>
      <c r="S24" s="42">
        <v>8016938.25</v>
      </c>
      <c r="T24" s="42">
        <f>'[1]1º TRIMESTRE'!T24+S24</f>
        <v>11899778.58</v>
      </c>
      <c r="U24" s="42">
        <f>'[1]1º TRIMESTRE'!U24+S24</f>
        <v>43498404.329999991</v>
      </c>
      <c r="V24" s="37" t="str">
        <f>'[1]1º TRIMESTRE'!V24</f>
        <v>andamento</v>
      </c>
    </row>
    <row r="25" spans="1:22" ht="33.75" x14ac:dyDescent="0.25">
      <c r="A25" s="35" t="str">
        <f>'[1]1º TRIMESTRE'!A25</f>
        <v>CONCORRÊNCIA Licitação: 021/2022</v>
      </c>
      <c r="B25" s="35" t="str">
        <f>'[1]1º TRIMESTRE'!B25</f>
        <v>EXECUÇÃO DOS SERVIÇOS DE IMPLANTAÇÃO DA REDE DE DRENAGEM COM A UTILIZAÇÃO DE TUBOS DE PEAD, E COBERTURA COM PAVIMENTO RÍGIDO OU FLEXÍVEL - LOTE III</v>
      </c>
      <c r="C25" s="36" t="s">
        <v>35</v>
      </c>
      <c r="D25" s="37" t="s">
        <v>36</v>
      </c>
      <c r="E25" s="37">
        <v>0</v>
      </c>
      <c r="F25" s="37">
        <v>0</v>
      </c>
      <c r="G25" s="38" t="str">
        <f>'[1]1º TRIMESTRE'!G25</f>
        <v>10.893.105/0001-70</v>
      </c>
      <c r="H25" s="38" t="str">
        <f>'[1]1º TRIMESTRE'!H25</f>
        <v>AGILIS CONSTRUTORA LTDA</v>
      </c>
      <c r="I25" s="37" t="str">
        <f>'[1]1º TRIMESTRE'!I25</f>
        <v>6-020/23</v>
      </c>
      <c r="J25" s="39">
        <f>'[1]1º TRIMESTRE'!J25</f>
        <v>45012</v>
      </c>
      <c r="K25" s="40">
        <f>'[1]1º TRIMESTRE'!K25</f>
        <v>210</v>
      </c>
      <c r="L25" s="37">
        <f>'[1]1º TRIMESTRE'!L25</f>
        <v>9520808.8000000007</v>
      </c>
      <c r="M25" s="39">
        <f t="shared" si="0"/>
        <v>45522</v>
      </c>
      <c r="N25" s="41">
        <f>'[1]1º TRIMESTRE'!N25+60</f>
        <v>300</v>
      </c>
      <c r="O25" s="42">
        <f>'[1]1º TRIMESTRE'!O25+889998.81</f>
        <v>2353582.31</v>
      </c>
      <c r="P25" s="37">
        <f>'[1]1º TRIMESTRE'!P25</f>
        <v>0</v>
      </c>
      <c r="Q25" s="37" t="str">
        <f>'[1]1º TRIMESTRE'!Q25</f>
        <v>4.4.90.39</v>
      </c>
      <c r="R25" s="42">
        <f>'[1]1º TRIMESTRE'!R25+1506653.87</f>
        <v>9134731.1700000018</v>
      </c>
      <c r="S25" s="42">
        <v>1506653.87</v>
      </c>
      <c r="T25" s="42">
        <f>'[1]1º TRIMESTRE'!T25+S25</f>
        <v>2318840.85</v>
      </c>
      <c r="U25" s="42">
        <f>'[1]1º TRIMESTRE'!U25+S25</f>
        <v>9134731.1700000018</v>
      </c>
      <c r="V25" s="37" t="str">
        <f>'[1]1º TRIMESTRE'!V25</f>
        <v>andamento</v>
      </c>
    </row>
    <row r="26" spans="1:22" ht="33.75" x14ac:dyDescent="0.25">
      <c r="A26" s="35" t="str">
        <f>'[1]1º TRIMESTRE'!A26</f>
        <v>CONCORRÊNCIA Licitação: 024/2022</v>
      </c>
      <c r="B26" s="35" t="str">
        <f>'[1]1º TRIMESTRE'!B26</f>
        <v>RECUPERAÇÃO DE PASSARELAS, PONTILHÕES E ELEMENTOS LIMITADORES DE ESPAÇO OU PROTEÇÃO, NAS DIVERSAS RPA'S NA CIDADE DO RECIFE</v>
      </c>
      <c r="C26" s="36">
        <v>0</v>
      </c>
      <c r="D26" s="37">
        <v>0</v>
      </c>
      <c r="E26" s="37">
        <v>0</v>
      </c>
      <c r="F26" s="37">
        <v>0</v>
      </c>
      <c r="G26" s="38" t="str">
        <f>'[1]1º TRIMESTRE'!G26</f>
        <v>10.811.370/0001-62</v>
      </c>
      <c r="H26" s="38" t="str">
        <f>'[1]1º TRIMESTRE'!H26</f>
        <v>GUERRA CONSTRUCOES LTDA</v>
      </c>
      <c r="I26" s="37" t="str">
        <f>'[1]1º TRIMESTRE'!I26</f>
        <v>6-021/23</v>
      </c>
      <c r="J26" s="39">
        <f>'[1]1º TRIMESTRE'!J26</f>
        <v>45012</v>
      </c>
      <c r="K26" s="40">
        <f>'[1]1º TRIMESTRE'!K26</f>
        <v>790</v>
      </c>
      <c r="L26" s="37">
        <f>'[1]1º TRIMESTRE'!L26</f>
        <v>7723888.8499999996</v>
      </c>
      <c r="M26" s="39">
        <f t="shared" si="0"/>
        <v>45802</v>
      </c>
      <c r="N26" s="41">
        <f>'[1]1º TRIMESTRE'!N26</f>
        <v>0</v>
      </c>
      <c r="O26" s="42">
        <f>'[1]1º TRIMESTRE'!O26+35205.07</f>
        <v>1907819.72</v>
      </c>
      <c r="P26" s="37">
        <f>'[1]1º TRIMESTRE'!P26</f>
        <v>0</v>
      </c>
      <c r="Q26" s="37" t="str">
        <f>'[1]1º TRIMESTRE'!Q26</f>
        <v>3.3.90.39</v>
      </c>
      <c r="R26" s="42">
        <f>'[1]1º TRIMESTRE'!R26+845054.65</f>
        <v>4991696.4300000006</v>
      </c>
      <c r="S26" s="42">
        <v>904319.81</v>
      </c>
      <c r="T26" s="42">
        <f>'[1]1º TRIMESTRE'!T26+S26</f>
        <v>965867.21000000008</v>
      </c>
      <c r="U26" s="42">
        <f>'[1]1º TRIMESTRE'!U26+S26</f>
        <v>4650997.62</v>
      </c>
      <c r="V26" s="37" t="str">
        <f>'[1]1º TRIMESTRE'!V26</f>
        <v>andamento</v>
      </c>
    </row>
    <row r="27" spans="1:22" ht="45" x14ac:dyDescent="0.25">
      <c r="A27" s="35" t="str">
        <f>'[1]1º TRIMESTRE'!A27</f>
        <v>TOMADA DE PREÇOS Licitação: 001/2022</v>
      </c>
      <c r="B27" s="35" t="str">
        <f>'[1]1º TRIMESTRE'!B27</f>
        <v>REFORMA COM AMPLIAÇÃO PARA IMPLANTAÇÃO DO SETOR DE FISCALIZAÇÃO STFI , 2 E 3, LOCALIZADA NA RUA JOUBERTE CARVALHO, CASA AMARELA E DIVISÃO DE FISCALIZAÇÃO DVFI 4 E 5 LOCALIZADO NO PARQUE DO CAIARA, AV. MAURÍCIO DE NASSAU, 68 IPUTINGA, RECIFE</v>
      </c>
      <c r="C27" s="36">
        <v>0</v>
      </c>
      <c r="D27" s="37">
        <v>0</v>
      </c>
      <c r="E27" s="37">
        <v>0</v>
      </c>
      <c r="F27" s="37">
        <v>0</v>
      </c>
      <c r="G27" s="38" t="str">
        <f>'[1]1º TRIMESTRE'!G27</f>
        <v>17.772.572/0001-91</v>
      </c>
      <c r="H27" s="38" t="str">
        <f>'[1]1º TRIMESTRE'!H27</f>
        <v>CARVALHO PONTES ENGENHARIA LTDA - EPP</v>
      </c>
      <c r="I27" s="37" t="str">
        <f>'[1]1º TRIMESTRE'!I27</f>
        <v>6-022/22</v>
      </c>
      <c r="J27" s="39">
        <f>'[1]1º TRIMESTRE'!J27</f>
        <v>44694</v>
      </c>
      <c r="K27" s="40">
        <f>'[1]1º TRIMESTRE'!K27</f>
        <v>240</v>
      </c>
      <c r="L27" s="37">
        <f>'[1]1º TRIMESTRE'!L27</f>
        <v>570270.67000000004</v>
      </c>
      <c r="M27" s="39">
        <f t="shared" si="0"/>
        <v>44934</v>
      </c>
      <c r="N27" s="41">
        <f>'[1]1º TRIMESTRE'!N27</f>
        <v>0</v>
      </c>
      <c r="O27" s="42">
        <f>'[1]1º TRIMESTRE'!O27</f>
        <v>0</v>
      </c>
      <c r="P27" s="37">
        <f>'[1]1º TRIMESTRE'!P27</f>
        <v>0</v>
      </c>
      <c r="Q27" s="37" t="str">
        <f>'[1]1º TRIMESTRE'!Q27</f>
        <v>4.4.90.39</v>
      </c>
      <c r="R27" s="42">
        <f>'[1]1º TRIMESTRE'!R27</f>
        <v>0</v>
      </c>
      <c r="S27" s="42"/>
      <c r="T27" s="42">
        <f>'[1]1º TRIMESTRE'!T27+S27</f>
        <v>0</v>
      </c>
      <c r="U27" s="42">
        <f>'[1]1º TRIMESTRE'!U27+S27</f>
        <v>0</v>
      </c>
      <c r="V27" s="37" t="str">
        <f>'[1]1º TRIMESTRE'!V27</f>
        <v>Cancelado</v>
      </c>
    </row>
    <row r="28" spans="1:22" ht="33.75" x14ac:dyDescent="0.25">
      <c r="A28" s="35" t="str">
        <f>'[1]1º TRIMESTRE'!A28</f>
        <v>TOMADA DE PREÇOS Licitação: 009/2022</v>
      </c>
      <c r="B28" s="35" t="str">
        <f>'[1]1º TRIMESTRE'!B28</f>
        <v>CONTRATAÇÃO DE EMPRESA ESPECIALIZADA NO RAMO DE ENGENHARIA PARA EXECUÇÃO DOS SERVIÇOS DE REQUALIFICAÇÃO DA PASSARELA DO PINA E URBANISMO DO SEU ENTORNO</v>
      </c>
      <c r="C28" s="36" t="s">
        <v>35</v>
      </c>
      <c r="D28" s="37" t="s">
        <v>36</v>
      </c>
      <c r="E28" s="37">
        <v>0</v>
      </c>
      <c r="F28" s="37">
        <v>0</v>
      </c>
      <c r="G28" s="38" t="str">
        <f>'[1]1º TRIMESTRE'!G28</f>
        <v>08.135.535/0001-81</v>
      </c>
      <c r="H28" s="38" t="str">
        <f>'[1]1º TRIMESTRE'!H28</f>
        <v>CONSTRUTORA FJ LTDA</v>
      </c>
      <c r="I28" s="37" t="str">
        <f>'[1]1º TRIMESTRE'!I28</f>
        <v>6-022/23</v>
      </c>
      <c r="J28" s="39">
        <f>'[1]1º TRIMESTRE'!J28</f>
        <v>45013</v>
      </c>
      <c r="K28" s="40">
        <f>'[1]1º TRIMESTRE'!K28</f>
        <v>300</v>
      </c>
      <c r="L28" s="37">
        <f>'[1]1º TRIMESTRE'!L28</f>
        <v>2208415.6800000002</v>
      </c>
      <c r="M28" s="39">
        <f t="shared" si="0"/>
        <v>45358</v>
      </c>
      <c r="N28" s="41">
        <f>'[1]1º TRIMESTRE'!N28</f>
        <v>45</v>
      </c>
      <c r="O28" s="42">
        <f>'[1]1º TRIMESTRE'!O28</f>
        <v>548793.1</v>
      </c>
      <c r="P28" s="37">
        <f>'[1]1º TRIMESTRE'!P28</f>
        <v>0</v>
      </c>
      <c r="Q28" s="37" t="str">
        <f>'[1]1º TRIMESTRE'!Q28</f>
        <v>4.4.90.39</v>
      </c>
      <c r="R28" s="42">
        <f>'[1]1º TRIMESTRE'!R28</f>
        <v>2527840.11</v>
      </c>
      <c r="S28" s="42">
        <v>0</v>
      </c>
      <c r="T28" s="42">
        <f>'[1]1º TRIMESTRE'!T28+S28</f>
        <v>216607.57</v>
      </c>
      <c r="U28" s="42">
        <f>'[1]1º TRIMESTRE'!U28+S28</f>
        <v>2527840.11</v>
      </c>
      <c r="V28" s="37" t="str">
        <f>'[1]1º TRIMESTRE'!V28</f>
        <v>andamento</v>
      </c>
    </row>
    <row r="29" spans="1:22" ht="72" customHeight="1" x14ac:dyDescent="0.25">
      <c r="A29" s="35" t="str">
        <f>'[1]1º TRIMESTRE'!A29</f>
        <v>CONCORRÊNCIA Licitação: 028/2022</v>
      </c>
      <c r="B29" s="35" t="str">
        <f>'[1]1º TRIMESTRE'!B29</f>
        <v>SERVIÇOS DE IMPLANTAÇÃO DA REDE DE DRENAGEM DE ÁGUAS PLUVIAIS, E PAVIMENTAÇÃO DE VIAS EM DIVERSAS RPA'S DA CIDADE DO RECIFE</v>
      </c>
      <c r="C29" s="36" t="s">
        <v>35</v>
      </c>
      <c r="D29" s="37" t="s">
        <v>36</v>
      </c>
      <c r="E29" s="37">
        <v>0</v>
      </c>
      <c r="F29" s="37">
        <v>0</v>
      </c>
      <c r="G29" s="38" t="str">
        <f>'[1]1º TRIMESTRE'!G29</f>
        <v>02.724.778/0001-79</v>
      </c>
      <c r="H29" s="38" t="str">
        <f>'[1]1º TRIMESTRE'!H29</f>
        <v>UNITERRA - UNIAO TERRAPLENAGEM E CONSTRUCOES LTDA</v>
      </c>
      <c r="I29" s="37" t="str">
        <f>'[1]1º TRIMESTRE'!I29</f>
        <v>6-023/23</v>
      </c>
      <c r="J29" s="39">
        <f>'[1]1º TRIMESTRE'!J29</f>
        <v>45013</v>
      </c>
      <c r="K29" s="40">
        <f>'[1]1º TRIMESTRE'!K29</f>
        <v>270</v>
      </c>
      <c r="L29" s="37">
        <f>'[1]1º TRIMESTRE'!L29</f>
        <v>16500029.24</v>
      </c>
      <c r="M29" s="39">
        <f t="shared" si="0"/>
        <v>45523</v>
      </c>
      <c r="N29" s="41">
        <f>'[1]1º TRIMESTRE'!N29+90</f>
        <v>240</v>
      </c>
      <c r="O29" s="42">
        <f>'[1]1º TRIMESTRE'!O29</f>
        <v>4124033.37</v>
      </c>
      <c r="P29" s="37">
        <f>'[1]1º TRIMESTRE'!P29</f>
        <v>0</v>
      </c>
      <c r="Q29" s="37" t="str">
        <f>'[1]1º TRIMESTRE'!Q29</f>
        <v>4.4.90.39</v>
      </c>
      <c r="R29" s="42">
        <f>'[1]1º TRIMESTRE'!R29+229673.32</f>
        <v>19840232.32</v>
      </c>
      <c r="S29" s="42">
        <v>199854.62</v>
      </c>
      <c r="T29" s="42">
        <f>'[1]1º TRIMESTRE'!T29+S29</f>
        <v>1299496.6800000002</v>
      </c>
      <c r="U29" s="42">
        <f>'[1]1º TRIMESTRE'!U29+S29</f>
        <v>19810413.619999997</v>
      </c>
      <c r="V29" s="37" t="str">
        <f>'[1]1º TRIMESTRE'!V29</f>
        <v>andamento</v>
      </c>
    </row>
    <row r="30" spans="1:22" ht="56.25" x14ac:dyDescent="0.25">
      <c r="A30" s="35" t="str">
        <f>'[1]1º TRIMESTRE'!A30</f>
        <v>CONCORRÊNCIA Licitação:    004/2019</v>
      </c>
      <c r="B30" s="35" t="str">
        <f>'[1]1º TRIMESTRE'!B30</f>
        <v>SERVIÇOS COMPLEMENTARES DE LIMPEZA URBANA EM ÁREAS PLANAS E DE TALUDE E SERVIÇOS DE MANUTENÇÃO CONTÍNUA PREVENTIVA E CORRETIVA DA ARBORIZAÇÃO URBANA EM MORROS, INCLUINDO A LOCAÇÃO DE VEÍCULOS E EQUIPAMENTOS.</v>
      </c>
      <c r="C30" s="36">
        <v>0</v>
      </c>
      <c r="D30" s="37">
        <v>0</v>
      </c>
      <c r="E30" s="37">
        <v>0</v>
      </c>
      <c r="F30" s="37">
        <v>0</v>
      </c>
      <c r="G30" s="38" t="str">
        <f>'[1]1º TRIMESTRE'!G30</f>
        <v>40.884.405/0001-54</v>
      </c>
      <c r="H30" s="38" t="str">
        <f>'[1]1º TRIMESTRE'!H30</f>
        <v>LOQUIPE LOCACAO DE EQUIPAMENTOS E MAO DE OBRA LTDA</v>
      </c>
      <c r="I30" s="37" t="str">
        <f>'[1]1º TRIMESTRE'!I30</f>
        <v>6-024/19</v>
      </c>
      <c r="J30" s="39">
        <f>'[1]1º TRIMESTRE'!J30</f>
        <v>43633</v>
      </c>
      <c r="K30" s="40">
        <f>'[1]1º TRIMESTRE'!K30</f>
        <v>395</v>
      </c>
      <c r="L30" s="37">
        <f>'[1]1º TRIMESTRE'!L30</f>
        <v>12390281.279999999</v>
      </c>
      <c r="M30" s="39">
        <f t="shared" si="0"/>
        <v>45488</v>
      </c>
      <c r="N30" s="41">
        <f>'[1]1º TRIMESTRE'!N30</f>
        <v>1460</v>
      </c>
      <c r="O30" s="42">
        <f>'[1]1º TRIMESTRE'!O30</f>
        <v>58537807.080000006</v>
      </c>
      <c r="P30" s="37">
        <f>'[1]1º TRIMESTRE'!P30</f>
        <v>4498504.68</v>
      </c>
      <c r="Q30" s="37" t="str">
        <f>'[1]1º TRIMESTRE'!Q30</f>
        <v>3.3.90.39</v>
      </c>
      <c r="R30" s="42">
        <f>'[1]1º TRIMESTRE'!R30+3111864.4</f>
        <v>48235991.559999995</v>
      </c>
      <c r="S30" s="42">
        <f>2871765.54+293120.58</f>
        <v>3164886.12</v>
      </c>
      <c r="T30" s="42">
        <f>'[1]1º TRIMESTRE'!T30+S30</f>
        <v>5498399.7800000003</v>
      </c>
      <c r="U30" s="42">
        <f>'[1]1º TRIMESTRE'!U30+S30</f>
        <v>47055900.440000005</v>
      </c>
      <c r="V30" s="37" t="str">
        <f>'[1]1º TRIMESTRE'!V30</f>
        <v>andamento</v>
      </c>
    </row>
    <row r="31" spans="1:22" ht="45" x14ac:dyDescent="0.25">
      <c r="A31" s="35" t="str">
        <f>'[1]1º TRIMESTRE'!A31</f>
        <v>CONCORRÊNCIA Licitação: 003/2022</v>
      </c>
      <c r="B31" s="35" t="str">
        <f>'[1]1º TRIMESTRE'!B31</f>
        <v>FORNECIMENTO E INSTAÇÃO DE LUMINARIAS COM TECNOLOGIA LED, COMPATÍVEIS COM SISTEMA DE TELEGESTÃO E REDE ELÉTRICA, PARA ILUMINAÇÃO PÚBLICA DA BR 101, NO TRECHO COMPREENDIDO ENTRE OS KM 69 E KM 78 E OS KM 62 E KM 58</v>
      </c>
      <c r="C31" s="36">
        <v>0</v>
      </c>
      <c r="D31" s="37">
        <v>0</v>
      </c>
      <c r="E31" s="37">
        <v>0</v>
      </c>
      <c r="F31" s="37">
        <v>0</v>
      </c>
      <c r="G31" s="38" t="str">
        <f>'[1]1º TRIMESTRE'!G31</f>
        <v>01.346.561/0001-00</v>
      </c>
      <c r="H31" s="38" t="str">
        <f>'[1]1º TRIMESTRE'!H31</f>
        <v>VASCONCELOS E SANTOS LTDA</v>
      </c>
      <c r="I31" s="37" t="str">
        <f>'[1]1º TRIMESTRE'!I31</f>
        <v>6-025/22</v>
      </c>
      <c r="J31" s="39">
        <f>'[1]1º TRIMESTRE'!J31</f>
        <v>44691</v>
      </c>
      <c r="K31" s="40">
        <f>'[1]1º TRIMESTRE'!K31</f>
        <v>395</v>
      </c>
      <c r="L31" s="37">
        <f>'[1]1º TRIMESTRE'!L31</f>
        <v>4795564.07</v>
      </c>
      <c r="M31" s="39">
        <f t="shared" si="0"/>
        <v>45416</v>
      </c>
      <c r="N31" s="41">
        <f>'[1]1º TRIMESTRE'!N31</f>
        <v>330</v>
      </c>
      <c r="O31" s="42">
        <f>'[1]1º TRIMESTRE'!O31</f>
        <v>251036.99</v>
      </c>
      <c r="P31" s="37">
        <f>'[1]1º TRIMESTRE'!P31</f>
        <v>406244.03</v>
      </c>
      <c r="Q31" s="37" t="str">
        <f>'[1]1º TRIMESTRE'!Q31</f>
        <v>4.4.90.39</v>
      </c>
      <c r="R31" s="42">
        <f>'[1]1º TRIMESTRE'!R31+144153.81</f>
        <v>5208720.4899999993</v>
      </c>
      <c r="S31" s="42">
        <v>460494.86</v>
      </c>
      <c r="T31" s="42">
        <f>'[1]1º TRIMESTRE'!T31+S31</f>
        <v>1064830.8500000001</v>
      </c>
      <c r="U31" s="42">
        <f>'[1]1º TRIMESTRE'!U31+S31</f>
        <v>4900705.4000000004</v>
      </c>
      <c r="V31" s="37" t="str">
        <f>'[1]1º TRIMESTRE'!V31</f>
        <v>andamento</v>
      </c>
    </row>
    <row r="32" spans="1:22" ht="56.25" x14ac:dyDescent="0.25">
      <c r="A32" s="35" t="str">
        <f>'[1]1º TRIMESTRE'!A32</f>
        <v>CONCORRÊNCIA Licitação: 003/2023</v>
      </c>
      <c r="B32" s="35" t="str">
        <f>'[1]1º TRIMESTRE'!B32</f>
        <v>RECUPERAÇÃO DE VIAS URBANAS PAVIMENTADAS EM CONCRETO DE CIMENTO PORTLAND, EM TRECHOS DE VIAS NAS RPA'S 1 A 6 DA CIDADE DO RECIFE</v>
      </c>
      <c r="C32" s="36">
        <v>0</v>
      </c>
      <c r="D32" s="37">
        <v>0</v>
      </c>
      <c r="E32" s="37">
        <v>0</v>
      </c>
      <c r="F32" s="37">
        <v>0</v>
      </c>
      <c r="G32" s="38" t="str">
        <f>'[1]1º TRIMESTRE'!G32</f>
        <v>00.338.885/0001-33</v>
      </c>
      <c r="H32" s="38" t="str">
        <f>'[1]1º TRIMESTRE'!H32</f>
        <v>NOVATEC CONSTRUCOES E EMPREENDIMENTOS LTDA</v>
      </c>
      <c r="I32" s="37" t="str">
        <f>'[1]1º TRIMESTRE'!I32</f>
        <v>6-025/23</v>
      </c>
      <c r="J32" s="39">
        <f>'[1]1º TRIMESTRE'!J32</f>
        <v>45030</v>
      </c>
      <c r="K32" s="40">
        <f>'[1]1º TRIMESTRE'!K32</f>
        <v>790</v>
      </c>
      <c r="L32" s="37">
        <f>'[1]1º TRIMESTRE'!L32</f>
        <v>21066518.57</v>
      </c>
      <c r="M32" s="39">
        <f t="shared" si="0"/>
        <v>45820</v>
      </c>
      <c r="N32" s="41">
        <f>'[1]1º TRIMESTRE'!N32</f>
        <v>0</v>
      </c>
      <c r="O32" s="42">
        <f>'[1]1º TRIMESTRE'!O32</f>
        <v>0</v>
      </c>
      <c r="P32" s="37">
        <f>'[1]1º TRIMESTRE'!P32</f>
        <v>0</v>
      </c>
      <c r="Q32" s="37" t="str">
        <f>'[1]1º TRIMESTRE'!Q32</f>
        <v>3.3.90.39</v>
      </c>
      <c r="R32" s="42">
        <f>'[1]1º TRIMESTRE'!R32+1300771.33</f>
        <v>6519223.7199999997</v>
      </c>
      <c r="S32" s="42">
        <v>1499666.69</v>
      </c>
      <c r="T32" s="42">
        <f>'[1]1º TRIMESTRE'!T32+S32</f>
        <v>1499666.69</v>
      </c>
      <c r="U32" s="42">
        <f>'[1]1º TRIMESTRE'!U32+S32</f>
        <v>5749512.4800000004</v>
      </c>
      <c r="V32" s="37" t="str">
        <f>'[1]1º TRIMESTRE'!V32</f>
        <v>andamento</v>
      </c>
    </row>
    <row r="33" spans="1:22" ht="33.75" x14ac:dyDescent="0.25">
      <c r="A33" s="35" t="str">
        <f>'[1]1º TRIMESTRE'!A33</f>
        <v>CONCORRÊNCIA Licitação: 001/2023</v>
      </c>
      <c r="B33" s="35" t="str">
        <f>'[1]1º TRIMESTRE'!B33</f>
        <v>RECUPERAÇÃO DE ESCADARIAS, MUROS E CORRIMÕES LOCALIZADOS NAS DIVERSAS RPAS DA CIDADE DO RECIFE - LOTE I - RPA 2</v>
      </c>
      <c r="C33" s="36">
        <v>0</v>
      </c>
      <c r="D33" s="37">
        <v>0</v>
      </c>
      <c r="E33" s="37">
        <v>0</v>
      </c>
      <c r="F33" s="37">
        <v>0</v>
      </c>
      <c r="G33" s="38" t="str">
        <f>'[1]1º TRIMESTRE'!G33</f>
        <v>11.523.068/0001-71</v>
      </c>
      <c r="H33" s="38" t="str">
        <f>'[1]1º TRIMESTRE'!H33</f>
        <v>CONSTRUTORA FAELLA LTDA EPP</v>
      </c>
      <c r="I33" s="37" t="str">
        <f>'[1]1º TRIMESTRE'!I33</f>
        <v>6-026/23</v>
      </c>
      <c r="J33" s="39">
        <f>'[1]1º TRIMESTRE'!J33</f>
        <v>45036</v>
      </c>
      <c r="K33" s="40">
        <f>'[1]1º TRIMESTRE'!K33</f>
        <v>790</v>
      </c>
      <c r="L33" s="37">
        <f>'[1]1º TRIMESTRE'!L33</f>
        <v>9610506.0199999996</v>
      </c>
      <c r="M33" s="39">
        <f t="shared" si="0"/>
        <v>45826</v>
      </c>
      <c r="N33" s="41">
        <f>'[1]1º TRIMESTRE'!N33</f>
        <v>0</v>
      </c>
      <c r="O33" s="42">
        <f>'[1]1º TRIMESTRE'!O33</f>
        <v>2361700.92</v>
      </c>
      <c r="P33" s="37">
        <f>'[1]1º TRIMESTRE'!P33</f>
        <v>0</v>
      </c>
      <c r="Q33" s="37" t="str">
        <f>'[1]1º TRIMESTRE'!Q33</f>
        <v>3.3.90.39</v>
      </c>
      <c r="R33" s="42">
        <f>'[1]1º TRIMESTRE'!R33+2199936.69</f>
        <v>9278525.3599999994</v>
      </c>
      <c r="S33" s="42">
        <f>2541676.99-3000</f>
        <v>2538676.9900000002</v>
      </c>
      <c r="T33" s="42">
        <f>'[1]1º TRIMESTRE'!T33+S33</f>
        <v>2797393.1</v>
      </c>
      <c r="U33" s="42">
        <f>'[1]1º TRIMESTRE'!U33+S33</f>
        <v>9278525.3599999994</v>
      </c>
      <c r="V33" s="37" t="str">
        <f>'[1]1º TRIMESTRE'!V33</f>
        <v>andamento</v>
      </c>
    </row>
    <row r="34" spans="1:22" ht="33.75" x14ac:dyDescent="0.25">
      <c r="A34" s="35" t="str">
        <f>'[1]1º TRIMESTRE'!A34</f>
        <v>CONCORRÊNCIA Licitação: 001/2023</v>
      </c>
      <c r="B34" s="35" t="str">
        <f>'[1]1º TRIMESTRE'!B34</f>
        <v>RECUPERAÇÃO DE ESCADARIAS, MUROS E CORRIMÕES LOCALIZADOS NAS DIVERSAS RPAS DA CIDADE DO RECIFE - LOTE II - RPA 3</v>
      </c>
      <c r="C34" s="36">
        <v>0</v>
      </c>
      <c r="D34" s="37">
        <v>0</v>
      </c>
      <c r="E34" s="37">
        <v>0</v>
      </c>
      <c r="F34" s="37">
        <v>0</v>
      </c>
      <c r="G34" s="38" t="str">
        <f>'[1]1º TRIMESTRE'!G34</f>
        <v>07.693.988/0001-60</v>
      </c>
      <c r="H34" s="38" t="str">
        <f>'[1]1º TRIMESTRE'!H34</f>
        <v>F R F ENGENHARIA LTDA</v>
      </c>
      <c r="I34" s="37" t="str">
        <f>'[1]1º TRIMESTRE'!I34</f>
        <v>6-027/23</v>
      </c>
      <c r="J34" s="39">
        <f>'[1]1º TRIMESTRE'!J34</f>
        <v>45036</v>
      </c>
      <c r="K34" s="40">
        <f>'[1]1º TRIMESTRE'!K34</f>
        <v>790</v>
      </c>
      <c r="L34" s="37">
        <f>'[1]1º TRIMESTRE'!L34</f>
        <v>15430851.99</v>
      </c>
      <c r="M34" s="39">
        <f t="shared" si="0"/>
        <v>45826</v>
      </c>
      <c r="N34" s="41">
        <f>'[1]1º TRIMESTRE'!N34</f>
        <v>0</v>
      </c>
      <c r="O34" s="42">
        <f>'[1]1º TRIMESTRE'!O34</f>
        <v>3112382</v>
      </c>
      <c r="P34" s="37">
        <f>'[1]1º TRIMESTRE'!P34</f>
        <v>0</v>
      </c>
      <c r="Q34" s="37" t="str">
        <f>'[1]1º TRIMESTRE'!Q34</f>
        <v>3.3.90.39</v>
      </c>
      <c r="R34" s="42">
        <f>'[1]1º TRIMESTRE'!R34+4967479.3</f>
        <v>15512128.330000002</v>
      </c>
      <c r="S34" s="42">
        <v>5590184.8299999991</v>
      </c>
      <c r="T34" s="42">
        <f>'[1]1º TRIMESTRE'!T34+S34</f>
        <v>6071446.9899999993</v>
      </c>
      <c r="U34" s="42">
        <f>'[1]1º TRIMESTRE'!U34+S34</f>
        <v>15136187.549999997</v>
      </c>
      <c r="V34" s="37" t="str">
        <f>'[1]1º TRIMESTRE'!V34</f>
        <v>andamento</v>
      </c>
    </row>
    <row r="35" spans="1:22" ht="56.25" x14ac:dyDescent="0.25">
      <c r="A35" s="35" t="str">
        <f>'[1]1º TRIMESTRE'!A35</f>
        <v>CONCORRÊNCIA Licitação: 007/2021</v>
      </c>
      <c r="B35" s="35" t="str">
        <f>'[1]1º TRIMESTRE'!B35</f>
        <v>CONTRATAÇÃO DE EMPRESA ESPECIALIZADA EM ENGENHARIA PARA ELABORAÇÃO E READEQUAÇÃO DE PROJETOS EXECUTIVOS DE INFRAESTRUTURADA URBANA, PARA AS VIAS DA CIDADE DO RECIFE</v>
      </c>
      <c r="C35" s="36" t="s">
        <v>38</v>
      </c>
      <c r="D35" s="37" t="s">
        <v>39</v>
      </c>
      <c r="E35" s="37">
        <v>0</v>
      </c>
      <c r="F35" s="37">
        <v>0</v>
      </c>
      <c r="G35" s="38" t="str">
        <f>'[1]1º TRIMESTRE'!G35</f>
        <v>17.883.268/0001-11</v>
      </c>
      <c r="H35" s="38" t="str">
        <f>'[1]1º TRIMESTRE'!H35</f>
        <v>WRC SOLUCOES - PROJETOS, GEODESIA E CONSTRUÇÃO LTDA</v>
      </c>
      <c r="I35" s="37" t="str">
        <f>'[1]1º TRIMESTRE'!I35</f>
        <v>6-028/22</v>
      </c>
      <c r="J35" s="39">
        <f>'[1]1º TRIMESTRE'!J35</f>
        <v>44714</v>
      </c>
      <c r="K35" s="40">
        <f>'[1]1º TRIMESTRE'!K35</f>
        <v>360</v>
      </c>
      <c r="L35" s="37">
        <f>'[1]1º TRIMESTRE'!L35</f>
        <v>1688150.08</v>
      </c>
      <c r="M35" s="39">
        <f t="shared" si="0"/>
        <v>45314</v>
      </c>
      <c r="N35" s="41">
        <f>'[1]1º TRIMESTRE'!N35</f>
        <v>240</v>
      </c>
      <c r="O35" s="42">
        <f>'[1]1º TRIMESTRE'!O35</f>
        <v>141311.6</v>
      </c>
      <c r="P35" s="37">
        <f>'[1]1º TRIMESTRE'!P35</f>
        <v>0</v>
      </c>
      <c r="Q35" s="37" t="str">
        <f>'[1]1º TRIMESTRE'!Q35</f>
        <v>4.4.90.39</v>
      </c>
      <c r="R35" s="42">
        <f>'[1]1º TRIMESTRE'!R35</f>
        <v>967239.64</v>
      </c>
      <c r="S35" s="42"/>
      <c r="T35" s="42">
        <f>'[1]1º TRIMESTRE'!T35+S35</f>
        <v>0</v>
      </c>
      <c r="U35" s="42">
        <f>'[1]1º TRIMESTRE'!U35+S35</f>
        <v>819260.32000000007</v>
      </c>
      <c r="V35" s="37" t="str">
        <f>'[1]1º TRIMESTRE'!V35</f>
        <v>andamento</v>
      </c>
    </row>
    <row r="36" spans="1:22" ht="33.75" x14ac:dyDescent="0.25">
      <c r="A36" s="35" t="str">
        <f>'[1]1º TRIMESTRE'!A36</f>
        <v>CONCORRÊNCIA Licitação: 001/2023</v>
      </c>
      <c r="B36" s="35" t="str">
        <f>'[1]1º TRIMESTRE'!B36</f>
        <v>RECUPERAÇÃO DE ESCADARIAS, MUROS E CORRIMÕES LOCALIZADOS NAS DIVERSAS RPAS DA CIDADE DO RECIFE - LOTE III - RPA 4,5 e 6</v>
      </c>
      <c r="C36" s="36">
        <v>0</v>
      </c>
      <c r="D36" s="37">
        <v>0</v>
      </c>
      <c r="E36" s="37">
        <v>0</v>
      </c>
      <c r="F36" s="37">
        <v>0</v>
      </c>
      <c r="G36" s="38" t="str">
        <f>'[1]1º TRIMESTRE'!G36</f>
        <v>10.811.370/0001-62</v>
      </c>
      <c r="H36" s="38" t="str">
        <f>'[1]1º TRIMESTRE'!H36</f>
        <v>GUERRA CONSTRUCOES LTDA</v>
      </c>
      <c r="I36" s="37" t="str">
        <f>'[1]1º TRIMESTRE'!I36</f>
        <v>6-028/23</v>
      </c>
      <c r="J36" s="39">
        <f>'[1]1º TRIMESTRE'!J36</f>
        <v>45069</v>
      </c>
      <c r="K36" s="40">
        <f>'[1]1º TRIMESTRE'!K36</f>
        <v>790</v>
      </c>
      <c r="L36" s="37">
        <f>'[1]1º TRIMESTRE'!L36</f>
        <v>12528565.16</v>
      </c>
      <c r="M36" s="39">
        <f t="shared" si="0"/>
        <v>45859</v>
      </c>
      <c r="N36" s="41">
        <f>'[1]1º TRIMESTRE'!N36</f>
        <v>0</v>
      </c>
      <c r="O36" s="42">
        <f>'[1]1º TRIMESTRE'!O36+2395202.4</f>
        <v>2751407.4</v>
      </c>
      <c r="P36" s="37">
        <f>'[1]1º TRIMESTRE'!P36</f>
        <v>0</v>
      </c>
      <c r="Q36" s="37" t="str">
        <f>'[1]1º TRIMESTRE'!Q36</f>
        <v>3.3.90.39</v>
      </c>
      <c r="R36" s="42">
        <f>'[1]1º TRIMESTRE'!R36+3751914.45</f>
        <v>10127380.420000002</v>
      </c>
      <c r="S36" s="42">
        <v>2912480.66</v>
      </c>
      <c r="T36" s="42">
        <f>'[1]1º TRIMESTRE'!T36+S36</f>
        <v>3161715.5100000002</v>
      </c>
      <c r="U36" s="42">
        <f>'[1]1º TRIMESTRE'!U36+S36</f>
        <v>8628010.0399999991</v>
      </c>
      <c r="V36" s="37" t="str">
        <f>'[1]1º TRIMESTRE'!V36</f>
        <v>andamento</v>
      </c>
    </row>
    <row r="37" spans="1:22" ht="33.75" x14ac:dyDescent="0.25">
      <c r="A37" s="35" t="str">
        <f>'[1]1º TRIMESTRE'!A37</f>
        <v>PREGÃO ELETRÔNICO Licitação: 011/2023</v>
      </c>
      <c r="B37" s="35" t="str">
        <f>'[1]1º TRIMESTRE'!B37</f>
        <v>CONTRATAÇÃO DE EMPRESA ESPECIALIZADA PARA CONFECÇÃO E/OU RESTAURO DE ESCULTURAS, MONUMENTOS E BUSTOS EM DIVERSOS LOCAIS DA CIDADE DO RECIFE. (15.001826/2023-21)</v>
      </c>
      <c r="C37" s="36" t="s">
        <v>35</v>
      </c>
      <c r="D37" s="37" t="s">
        <v>36</v>
      </c>
      <c r="E37" s="37">
        <v>0</v>
      </c>
      <c r="F37" s="37">
        <v>0</v>
      </c>
      <c r="G37" s="38" t="str">
        <f>'[1]1º TRIMESTRE'!G37</f>
        <v>08.064.693/0001-98</v>
      </c>
      <c r="H37" s="38" t="str">
        <f>'[1]1º TRIMESTRE'!H37</f>
        <v>CONCREPOXI ENGENHARIA LTDA</v>
      </c>
      <c r="I37" s="37" t="str">
        <f>'[1]1º TRIMESTRE'!I37</f>
        <v>6-030/23</v>
      </c>
      <c r="J37" s="39">
        <f>'[1]1º TRIMESTRE'!J37</f>
        <v>45048</v>
      </c>
      <c r="K37" s="40">
        <f>'[1]1º TRIMESTRE'!K37</f>
        <v>210</v>
      </c>
      <c r="L37" s="37">
        <f>'[1]1º TRIMESTRE'!L37</f>
        <v>476900</v>
      </c>
      <c r="M37" s="39">
        <f t="shared" si="0"/>
        <v>45498</v>
      </c>
      <c r="N37" s="41">
        <f>'[1]1º TRIMESTRE'!N37</f>
        <v>240</v>
      </c>
      <c r="O37" s="42">
        <f>'[1]1º TRIMESTRE'!O37</f>
        <v>104121.83</v>
      </c>
      <c r="P37" s="37">
        <f>'[1]1º TRIMESTRE'!P37</f>
        <v>0</v>
      </c>
      <c r="Q37" s="37" t="str">
        <f>'[1]1º TRIMESTRE'!Q37</f>
        <v>4.4.90.39</v>
      </c>
      <c r="R37" s="42">
        <f>'[1]1º TRIMESTRE'!R37+38324.97</f>
        <v>528581.82999999996</v>
      </c>
      <c r="S37" s="42">
        <v>38324.97</v>
      </c>
      <c r="T37" s="42">
        <f>'[1]1º TRIMESTRE'!T37+S37</f>
        <v>67126.649999999994</v>
      </c>
      <c r="U37" s="42">
        <f>'[1]1º TRIMESTRE'!U37+S37</f>
        <v>528581.82999999996</v>
      </c>
      <c r="V37" s="37" t="str">
        <f>'[1]1º TRIMESTRE'!V37</f>
        <v>andamento</v>
      </c>
    </row>
    <row r="38" spans="1:22" ht="56.25" x14ac:dyDescent="0.25">
      <c r="A38" s="35" t="str">
        <f>'[1]1º TRIMESTRE'!A38</f>
        <v>PREGÃO ELETRÔNICO Licitação: 017/2022</v>
      </c>
      <c r="B38" s="35" t="str">
        <f>'[1]1º TRIMESTRE'!B38</f>
        <v>MANUTENÇÃO E /OU INSTALAÇÃO DE EQUIPAMENTOS E BRINQUEDOS EM MADEIRA, INSTALADOS EM PARQUES E PRAÇAS DA CIDADE DO RECIFE</v>
      </c>
      <c r="C38" s="36">
        <v>0</v>
      </c>
      <c r="D38" s="37">
        <v>0</v>
      </c>
      <c r="E38" s="37">
        <v>0</v>
      </c>
      <c r="F38" s="37">
        <v>0</v>
      </c>
      <c r="G38" s="38" t="str">
        <f>'[1]1º TRIMESTRE'!G38</f>
        <v>06.157.352/0001-31</v>
      </c>
      <c r="H38" s="38" t="str">
        <f>'[1]1º TRIMESTRE'!H38</f>
        <v>JAIR SOUZA DE LIMA SERVICOS E CONSTRUCOES LTDA</v>
      </c>
      <c r="I38" s="37" t="str">
        <f>'[1]1º TRIMESTRE'!I38</f>
        <v>6-032/22</v>
      </c>
      <c r="J38" s="39">
        <f>'[1]1º TRIMESTRE'!J38</f>
        <v>44718</v>
      </c>
      <c r="K38" s="40">
        <f>'[1]1º TRIMESTRE'!K38</f>
        <v>790</v>
      </c>
      <c r="L38" s="37">
        <f>'[1]1º TRIMESTRE'!L38</f>
        <v>1278000</v>
      </c>
      <c r="M38" s="39">
        <f t="shared" si="0"/>
        <v>45508</v>
      </c>
      <c r="N38" s="41">
        <f>'[1]1º TRIMESTRE'!N38</f>
        <v>0</v>
      </c>
      <c r="O38" s="42">
        <f>'[1]1º TRIMESTRE'!O38</f>
        <v>281802.27</v>
      </c>
      <c r="P38" s="37">
        <f>'[1]1º TRIMESTRE'!P38</f>
        <v>75638.98</v>
      </c>
      <c r="Q38" s="37" t="str">
        <f>'[1]1º TRIMESTRE'!Q38</f>
        <v>3.3.90.39</v>
      </c>
      <c r="R38" s="42">
        <f>'[1]1º TRIMESTRE'!R38</f>
        <v>1594400.1500000001</v>
      </c>
      <c r="S38" s="42">
        <v>0</v>
      </c>
      <c r="T38" s="42">
        <f>'[1]1º TRIMESTRE'!T38+S38</f>
        <v>274334.37</v>
      </c>
      <c r="U38" s="42">
        <f>'[1]1º TRIMESTRE'!U38+S38</f>
        <v>1594400.15</v>
      </c>
      <c r="V38" s="37" t="s">
        <v>37</v>
      </c>
    </row>
    <row r="39" spans="1:22" ht="33.75" x14ac:dyDescent="0.25">
      <c r="A39" s="35" t="str">
        <f>'[1]1º TRIMESTRE'!A39</f>
        <v>TOMADA DE PREÇOS Licitação: 001/2023</v>
      </c>
      <c r="B39" s="35" t="str">
        <f>'[1]1º TRIMESTRE'!B39</f>
        <v>RESTAURAÇÃO DA CAPELA DO CEMITÉRIO DE SANTO AMARO, LOCALIZADA NO BAIRRO DE SANTO AMARO</v>
      </c>
      <c r="C39" s="36" t="s">
        <v>35</v>
      </c>
      <c r="D39" s="37" t="s">
        <v>36</v>
      </c>
      <c r="E39" s="37">
        <v>0</v>
      </c>
      <c r="F39" s="37">
        <v>0</v>
      </c>
      <c r="G39" s="38" t="str">
        <f>'[1]1º TRIMESTRE'!G39</f>
        <v>08.064.693/0001-98</v>
      </c>
      <c r="H39" s="38" t="str">
        <f>'[1]1º TRIMESTRE'!H39</f>
        <v>CONCREPOXI ENGENHARIA LTDA</v>
      </c>
      <c r="I39" s="37" t="str">
        <f>'[1]1º TRIMESTRE'!I39</f>
        <v>6-032/23</v>
      </c>
      <c r="J39" s="39">
        <f>'[1]1º TRIMESTRE'!J39</f>
        <v>45051</v>
      </c>
      <c r="K39" s="40">
        <f>'[1]1º TRIMESTRE'!K39</f>
        <v>120</v>
      </c>
      <c r="L39" s="37">
        <f>'[1]1º TRIMESTRE'!L39</f>
        <v>631034.78</v>
      </c>
      <c r="M39" s="39">
        <f t="shared" si="0"/>
        <v>45318</v>
      </c>
      <c r="N39" s="41">
        <f>'[1]1º TRIMESTRE'!N39</f>
        <v>147</v>
      </c>
      <c r="O39" s="42">
        <f>'[1]1º TRIMESTRE'!O39</f>
        <v>53232.76</v>
      </c>
      <c r="P39" s="37">
        <f>'[1]1º TRIMESTRE'!P39</f>
        <v>0</v>
      </c>
      <c r="Q39" s="37" t="str">
        <f>'[1]1º TRIMESTRE'!Q39</f>
        <v>4.4.90.39</v>
      </c>
      <c r="R39" s="42">
        <f>'[1]1º TRIMESTRE'!R39</f>
        <v>633312.47</v>
      </c>
      <c r="S39" s="42">
        <v>0</v>
      </c>
      <c r="T39" s="42">
        <f>'[1]1º TRIMESTRE'!T39+S39</f>
        <v>0</v>
      </c>
      <c r="U39" s="42">
        <f>'[1]1º TRIMESTRE'!U39+S39</f>
        <v>633312.47</v>
      </c>
      <c r="V39" s="37" t="str">
        <f>'[1]1º TRIMESTRE'!V39</f>
        <v>andamento</v>
      </c>
    </row>
    <row r="40" spans="1:22" ht="45" x14ac:dyDescent="0.25">
      <c r="A40" s="35" t="str">
        <f>'[1]1º TRIMESTRE'!A40</f>
        <v>CONCORRÊNCIA Licitação: 007/2021</v>
      </c>
      <c r="B40" s="35" t="str">
        <f>'[1]1º TRIMESTRE'!B40</f>
        <v>CONTRATAÇÃO DE EMPESA ESPECIALIZADA DE ENGENHARIA PARAURBANISMO E SEUS ORÇAMENTOS DE CUSTOS PARA VIAS URBANAS DA CIDADE DO RECIFE</v>
      </c>
      <c r="C40" s="36" t="s">
        <v>38</v>
      </c>
      <c r="D40" s="37" t="s">
        <v>39</v>
      </c>
      <c r="E40" s="37">
        <v>0</v>
      </c>
      <c r="F40" s="37">
        <v>0</v>
      </c>
      <c r="G40" s="38" t="str">
        <f>'[1]1º TRIMESTRE'!G40</f>
        <v>70.073.275/0001-30</v>
      </c>
      <c r="H40" s="38" t="str">
        <f>'[1]1º TRIMESTRE'!H40</f>
        <v>GEOSISTEMAS ENGENHARIA E PLANEJAMENTO LTDA</v>
      </c>
      <c r="I40" s="37" t="str">
        <f>'[1]1º TRIMESTRE'!I40</f>
        <v>6-033/22</v>
      </c>
      <c r="J40" s="39">
        <f>'[1]1º TRIMESTRE'!J40</f>
        <v>44732</v>
      </c>
      <c r="K40" s="40">
        <f>'[1]1º TRIMESTRE'!K40</f>
        <v>360</v>
      </c>
      <c r="L40" s="37">
        <f>'[1]1º TRIMESTRE'!L40</f>
        <v>1507466.22</v>
      </c>
      <c r="M40" s="39">
        <f t="shared" si="0"/>
        <v>45392</v>
      </c>
      <c r="N40" s="41">
        <f>'[1]1º TRIMESTRE'!N40</f>
        <v>300</v>
      </c>
      <c r="O40" s="42">
        <f>'[1]1º TRIMESTRE'!O40</f>
        <v>144164</v>
      </c>
      <c r="P40" s="37">
        <f>'[1]1º TRIMESTRE'!P40</f>
        <v>0</v>
      </c>
      <c r="Q40" s="37" t="str">
        <f>'[1]1º TRIMESTRE'!Q40</f>
        <v>4.4.90.39</v>
      </c>
      <c r="R40" s="42">
        <f>'[1]1º TRIMESTRE'!R40+369140.64</f>
        <v>1559751.25</v>
      </c>
      <c r="S40" s="42">
        <v>143547.12</v>
      </c>
      <c r="T40" s="42">
        <f>'[1]1º TRIMESTRE'!T40+S40</f>
        <v>143547.12</v>
      </c>
      <c r="U40" s="42">
        <f>'[1]1º TRIMESTRE'!U40+S40</f>
        <v>1190610.6099999999</v>
      </c>
      <c r="V40" s="37" t="str">
        <f>'[1]1º TRIMESTRE'!V40</f>
        <v>andamento</v>
      </c>
    </row>
    <row r="41" spans="1:22" ht="56.25" x14ac:dyDescent="0.25">
      <c r="A41" s="35" t="str">
        <f>'[1]1º TRIMESTRE'!A41</f>
        <v>CONCORRÊNCIA Licitação: 007/2021</v>
      </c>
      <c r="B41" s="35" t="str">
        <f>'[1]1º TRIMESTRE'!B41</f>
        <v>ELABORAÇÃO E READEQUAÇÃO DE PROJETOS EXECUTIVOS DE INFRAESTRUTURA URBANA, CONTEMPLANDO AS DISCIPLINAS DE GEOMETRIA, PAVIMENTAÇÃO, TERRAPLENAGEM, DRENAGEM, URBANISMO E SEUS ORÇAMENTOS DE CUSTOS PARA VIAS URBANAS DA CIDADE DO RECIFE</v>
      </c>
      <c r="C41" s="36" t="s">
        <v>38</v>
      </c>
      <c r="D41" s="37" t="s">
        <v>39</v>
      </c>
      <c r="E41" s="37">
        <v>0</v>
      </c>
      <c r="F41" s="37">
        <v>0</v>
      </c>
      <c r="G41" s="38" t="str">
        <f>'[1]1º TRIMESTRE'!G41</f>
        <v>70.073.275/0001-30</v>
      </c>
      <c r="H41" s="38" t="str">
        <f>'[1]1º TRIMESTRE'!H41</f>
        <v>GEOSISTEMAS ENGENHARIA E PLANEJAMENTO LTDA</v>
      </c>
      <c r="I41" s="37" t="str">
        <f>'[1]1º TRIMESTRE'!I41</f>
        <v>6-034/22</v>
      </c>
      <c r="J41" s="39">
        <f>'[1]1º TRIMESTRE'!J41</f>
        <v>44732</v>
      </c>
      <c r="K41" s="40">
        <f>'[1]1º TRIMESTRE'!K41</f>
        <v>425</v>
      </c>
      <c r="L41" s="37">
        <f>'[1]1º TRIMESTRE'!L41</f>
        <v>2244006.2200000002</v>
      </c>
      <c r="M41" s="39">
        <f t="shared" si="0"/>
        <v>45457</v>
      </c>
      <c r="N41" s="41">
        <f>'[1]1º TRIMESTRE'!N41</f>
        <v>300</v>
      </c>
      <c r="O41" s="42">
        <f>'[1]1º TRIMESTRE'!O41+160930.51</f>
        <v>174155.54</v>
      </c>
      <c r="P41" s="37">
        <f>'[1]1º TRIMESTRE'!P41</f>
        <v>0</v>
      </c>
      <c r="Q41" s="37" t="str">
        <f>'[1]1º TRIMESTRE'!Q41</f>
        <v>4.4.90.39</v>
      </c>
      <c r="R41" s="42">
        <f>'[1]1º TRIMESTRE'!R41+1191386.4</f>
        <v>1993969.31</v>
      </c>
      <c r="S41" s="42">
        <v>493779.64</v>
      </c>
      <c r="T41" s="42">
        <f>'[1]1º TRIMESTRE'!T41+S41</f>
        <v>493779.64</v>
      </c>
      <c r="U41" s="42">
        <f>'[1]1º TRIMESTRE'!U41+S41</f>
        <v>1101901.8799999999</v>
      </c>
      <c r="V41" s="37" t="str">
        <f>'[1]1º TRIMESTRE'!V41</f>
        <v>andamento</v>
      </c>
    </row>
    <row r="42" spans="1:22" ht="33.75" x14ac:dyDescent="0.25">
      <c r="A42" s="35" t="str">
        <f>'[1]1º TRIMESTRE'!A42</f>
        <v>CONCORRÊNCIA Licitação: 026/2022</v>
      </c>
      <c r="B42" s="35" t="str">
        <f>'[1]1º TRIMESTRE'!B42</f>
        <v>MANUTENÇÃO PREVENTIVA E CORRETIVA DO SISTEMA DE ILUMINAÇÃO PÚBLICA CONVENCIONAL DAS RPA`S 2 E 3 DO MUNICÍPIO DO RECIFE EM POSTES ATÉ 12 METROS DE ALTURA - LOTE II</v>
      </c>
      <c r="C42" s="36">
        <v>0</v>
      </c>
      <c r="D42" s="37">
        <v>0</v>
      </c>
      <c r="E42" s="37">
        <v>0</v>
      </c>
      <c r="F42" s="37">
        <v>0</v>
      </c>
      <c r="G42" s="38" t="str">
        <f>'[1]1º TRIMESTRE'!G42</f>
        <v>41.116.138/0001-38</v>
      </c>
      <c r="H42" s="38" t="str">
        <f>'[1]1º TRIMESTRE'!H42</f>
        <v>REAL ENERGY LTDA</v>
      </c>
      <c r="I42" s="37" t="str">
        <f>'[1]1º TRIMESTRE'!I42</f>
        <v>6-034/23</v>
      </c>
      <c r="J42" s="39">
        <f>'[1]1º TRIMESTRE'!J42</f>
        <v>45065</v>
      </c>
      <c r="K42" s="40">
        <f>'[1]1º TRIMESTRE'!K42</f>
        <v>790</v>
      </c>
      <c r="L42" s="37">
        <f>'[1]1º TRIMESTRE'!L42</f>
        <v>6928531.4000000004</v>
      </c>
      <c r="M42" s="39">
        <f t="shared" si="0"/>
        <v>45855</v>
      </c>
      <c r="N42" s="41">
        <f>'[1]1º TRIMESTRE'!N42</f>
        <v>0</v>
      </c>
      <c r="O42" s="42">
        <f>'[1]1º TRIMESTRE'!O42</f>
        <v>0</v>
      </c>
      <c r="P42" s="37">
        <f>'[1]1º TRIMESTRE'!P42</f>
        <v>0</v>
      </c>
      <c r="Q42" s="37" t="str">
        <f>'[1]1º TRIMESTRE'!Q42</f>
        <v>3.3.90.39</v>
      </c>
      <c r="R42" s="42">
        <f>'[1]1º TRIMESTRE'!R42+716861.76</f>
        <v>2782499.31</v>
      </c>
      <c r="S42" s="42">
        <v>955815.68</v>
      </c>
      <c r="T42" s="42">
        <f>'[1]1º TRIMESTRE'!T42+S42</f>
        <v>1433723.52</v>
      </c>
      <c r="U42" s="42">
        <f>'[1]1º TRIMESTRE'!U42+S42</f>
        <v>2782499.31</v>
      </c>
      <c r="V42" s="37" t="str">
        <f>'[1]1º TRIMESTRE'!V42</f>
        <v>andamento</v>
      </c>
    </row>
    <row r="43" spans="1:22" ht="67.5" x14ac:dyDescent="0.25">
      <c r="A43" s="35" t="str">
        <f>'[1]1º TRIMESTRE'!A43</f>
        <v>CONCORRÊNCIA Licitação: 006/2021</v>
      </c>
      <c r="B43" s="35" t="str">
        <f>'[1]1º TRIMESTRE'!B43</f>
        <v xml:space="preserve"> IMPLANTAÇÃO DA REDE DE DRENAGEM, PAVIMENTAÇÃO, ACESSIBILIDADE E SINALIZAÇÃO DAS RUAS DESEMBARGADOR VIRGÍLIO DE SA PEREIRA E MATHUZALEM WANDERLEY, LOCALIZADAS NO BAIRRO DO CORDEIRO. LOTE 01</v>
      </c>
      <c r="C43" s="36" t="s">
        <v>40</v>
      </c>
      <c r="D43" s="37" t="s">
        <v>41</v>
      </c>
      <c r="E43" s="37">
        <v>3820000</v>
      </c>
      <c r="F43" s="37">
        <v>8000</v>
      </c>
      <c r="G43" s="38" t="str">
        <f>'[1]1º TRIMESTRE'!G43</f>
        <v>02.724.778/0001-79</v>
      </c>
      <c r="H43" s="38" t="str">
        <f>'[1]1º TRIMESTRE'!H43</f>
        <v>UNITERRA - UNIAO TERRAPLENAGEM E CONSTRUCOES LTDA</v>
      </c>
      <c r="I43" s="37" t="str">
        <f>'[1]1º TRIMESTRE'!I43</f>
        <v>6-035/21</v>
      </c>
      <c r="J43" s="39">
        <f>'[1]1º TRIMESTRE'!J43</f>
        <v>44456</v>
      </c>
      <c r="K43" s="40">
        <f>'[1]1º TRIMESTRE'!K43</f>
        <v>210</v>
      </c>
      <c r="L43" s="37">
        <f>'[1]1º TRIMESTRE'!L43</f>
        <v>2111167.85</v>
      </c>
      <c r="M43" s="39">
        <f t="shared" si="0"/>
        <v>45481</v>
      </c>
      <c r="N43" s="41">
        <f>'[1]1º TRIMESTRE'!N43+90</f>
        <v>815</v>
      </c>
      <c r="O43" s="42">
        <f>'[1]1º TRIMESTRE'!O43</f>
        <v>420544.48</v>
      </c>
      <c r="P43" s="37">
        <f>'[1]1º TRIMESTRE'!P43+240920.47</f>
        <v>240018.35</v>
      </c>
      <c r="Q43" s="37" t="str">
        <f>'[1]1º TRIMESTRE'!Q43</f>
        <v>4.4.90.39</v>
      </c>
      <c r="R43" s="42">
        <f>'[1]1º TRIMESTRE'!R43+424782.93</f>
        <v>2389119.35</v>
      </c>
      <c r="S43" s="42">
        <v>0</v>
      </c>
      <c r="T43" s="42">
        <f>'[1]1º TRIMESTRE'!T43+S43</f>
        <v>0</v>
      </c>
      <c r="U43" s="42">
        <f>'[1]1º TRIMESTRE'!U43+S43</f>
        <v>1918235.1</v>
      </c>
      <c r="V43" s="37" t="str">
        <f>'[1]1º TRIMESTRE'!V43</f>
        <v>andamento</v>
      </c>
    </row>
    <row r="44" spans="1:22" ht="45" x14ac:dyDescent="0.25">
      <c r="A44" s="35" t="str">
        <f>'[1]1º TRIMESTRE'!A44</f>
        <v>CONCORRÊNCIA Licitação: 001/2022</v>
      </c>
      <c r="B44" s="35" t="str">
        <f>'[1]1º TRIMESTRE'!B44</f>
        <v>SERVIÇO DE MANUTENÇÃO PREVENTIVA DO SISTEMA MACRODRENAGEM EM TODAS AS RPAS DA CIDADE DO RECIFE, LOTE I - RPA 01 E RPA 06</v>
      </c>
      <c r="C44" s="36">
        <v>0</v>
      </c>
      <c r="D44" s="37">
        <v>0</v>
      </c>
      <c r="E44" s="37">
        <v>0</v>
      </c>
      <c r="F44" s="37">
        <v>0</v>
      </c>
      <c r="G44" s="38" t="str">
        <f>'[1]1º TRIMESTRE'!G44</f>
        <v>01.514.128/0001-36</v>
      </c>
      <c r="H44" s="38" t="str">
        <f>'[1]1º TRIMESTRE'!H44</f>
        <v>SCAVE SERVICOS DE ENGENHARIA E LOCACAO LTDA</v>
      </c>
      <c r="I44" s="37" t="str">
        <f>'[1]1º TRIMESTRE'!I44</f>
        <v>6-036/22</v>
      </c>
      <c r="J44" s="39">
        <f>'[1]1º TRIMESTRE'!J44</f>
        <v>44719</v>
      </c>
      <c r="K44" s="40">
        <f>'[1]1º TRIMESTRE'!K44</f>
        <v>1155</v>
      </c>
      <c r="L44" s="37">
        <f>'[1]1º TRIMESTRE'!L44</f>
        <v>7836613.5899999999</v>
      </c>
      <c r="M44" s="39">
        <f t="shared" si="0"/>
        <v>45874</v>
      </c>
      <c r="N44" s="41">
        <f>'[1]1º TRIMESTRE'!N44</f>
        <v>0</v>
      </c>
      <c r="O44" s="42">
        <f>'[1]1º TRIMESTRE'!O44</f>
        <v>1826425.61</v>
      </c>
      <c r="P44" s="37">
        <f>'[1]1º TRIMESTRE'!P44+279593.68</f>
        <v>898096.1399999999</v>
      </c>
      <c r="Q44" s="37" t="str">
        <f>'[1]1º TRIMESTRE'!Q44</f>
        <v>3.3.90.39</v>
      </c>
      <c r="R44" s="42">
        <f>'[1]1º TRIMESTRE'!R44+1165481.26</f>
        <v>8017149.46</v>
      </c>
      <c r="S44" s="42">
        <v>1124413.43</v>
      </c>
      <c r="T44" s="42">
        <f>'[1]1º TRIMESTRE'!T44+S44</f>
        <v>1855236.6</v>
      </c>
      <c r="U44" s="42">
        <f>'[1]1º TRIMESTRE'!U44+S44</f>
        <v>7976081.629999999</v>
      </c>
      <c r="V44" s="37" t="str">
        <f>'[1]1º TRIMESTRE'!V44</f>
        <v>andamento</v>
      </c>
    </row>
    <row r="45" spans="1:22" ht="33.75" x14ac:dyDescent="0.25">
      <c r="A45" s="35" t="str">
        <f>'[1]1º TRIMESTRE'!A45</f>
        <v>PREGÃO ELETRÔNICO Licitação: 002/2023</v>
      </c>
      <c r="B45" s="35" t="str">
        <f>'[1]1º TRIMESTRE'!B45</f>
        <v>FORNECIMENTO E INSTALAÇÃO DE RELÉS DE TELEGESTÃO NO SISTEMA DE ILUMINAÇÃO PÚBLICA DA CIDADE DO RECIFE-PE. (15.000825/2023-60)</v>
      </c>
      <c r="C45" s="36">
        <v>0</v>
      </c>
      <c r="D45" s="37">
        <v>0</v>
      </c>
      <c r="E45" s="37">
        <v>0</v>
      </c>
      <c r="F45" s="37">
        <v>0</v>
      </c>
      <c r="G45" s="38" t="str">
        <f>'[1]1º TRIMESTRE'!G45</f>
        <v>01.346.561/0001-00</v>
      </c>
      <c r="H45" s="38" t="str">
        <f>'[1]1º TRIMESTRE'!H45</f>
        <v>VASCONCELOS E SANTOS LTDA</v>
      </c>
      <c r="I45" s="37" t="str">
        <f>'[1]1º TRIMESTRE'!I45</f>
        <v>6-036/23</v>
      </c>
      <c r="J45" s="39">
        <f>'[1]1º TRIMESTRE'!J45</f>
        <v>45078</v>
      </c>
      <c r="K45" s="40">
        <f>'[1]1º TRIMESTRE'!K45</f>
        <v>760</v>
      </c>
      <c r="L45" s="37">
        <f>'[1]1º TRIMESTRE'!L45</f>
        <v>17399999.920000002</v>
      </c>
      <c r="M45" s="39">
        <f t="shared" si="0"/>
        <v>45838</v>
      </c>
      <c r="N45" s="41">
        <f>'[1]1º TRIMESTRE'!N45</f>
        <v>0</v>
      </c>
      <c r="O45" s="42">
        <f>'[1]1º TRIMESTRE'!O45</f>
        <v>0</v>
      </c>
      <c r="P45" s="37">
        <f>'[1]1º TRIMESTRE'!P45</f>
        <v>0</v>
      </c>
      <c r="Q45" s="37" t="str">
        <f>'[1]1º TRIMESTRE'!Q45</f>
        <v>3.3.90.39</v>
      </c>
      <c r="R45" s="42">
        <f>'[1]1º TRIMESTRE'!R45+696739.22-2023</f>
        <v>10566692.24</v>
      </c>
      <c r="S45" s="42">
        <v>596797.68000000005</v>
      </c>
      <c r="T45" s="42">
        <f>'[1]1º TRIMESTRE'!T45+S45</f>
        <v>6264634.3399999999</v>
      </c>
      <c r="U45" s="42">
        <f>'[1]1º TRIMESTRE'!U45+S45</f>
        <v>10466750.699999999</v>
      </c>
      <c r="V45" s="37" t="str">
        <f>'[1]1º TRIMESTRE'!V45</f>
        <v>andamento</v>
      </c>
    </row>
    <row r="46" spans="1:22" ht="45" x14ac:dyDescent="0.25">
      <c r="A46" s="35" t="str">
        <f>'[1]1º TRIMESTRE'!A46</f>
        <v>CONCORRÊNCIA Licitação: 001/2022</v>
      </c>
      <c r="B46" s="35" t="str">
        <f>'[1]1º TRIMESTRE'!B46</f>
        <v>SERVIÇO DE MANUTENÇÃO PREVENTIVA DO SISTEMA MACRODRENAGEM EM TODAS AS RPAS DA CIDADE DO RECIFE, LOTE II - RPA 02 E RPA 03</v>
      </c>
      <c r="C46" s="36">
        <v>0</v>
      </c>
      <c r="D46" s="37">
        <v>0</v>
      </c>
      <c r="E46" s="37">
        <v>0</v>
      </c>
      <c r="F46" s="37">
        <v>0</v>
      </c>
      <c r="G46" s="38" t="str">
        <f>'[1]1º TRIMESTRE'!G46</f>
        <v>01.514.128/0001-36</v>
      </c>
      <c r="H46" s="38" t="str">
        <f>'[1]1º TRIMESTRE'!H46</f>
        <v>SCAVE SERVICOS DE ENGENHARIA E LOCACAO LTDA</v>
      </c>
      <c r="I46" s="37" t="str">
        <f>'[1]1º TRIMESTRE'!I46</f>
        <v>6-037/22</v>
      </c>
      <c r="J46" s="39">
        <f>'[1]1º TRIMESTRE'!J46</f>
        <v>44719</v>
      </c>
      <c r="K46" s="40">
        <f>'[1]1º TRIMESTRE'!K46</f>
        <v>1155</v>
      </c>
      <c r="L46" s="37">
        <f>'[1]1º TRIMESTRE'!L46</f>
        <v>8921904</v>
      </c>
      <c r="M46" s="39">
        <f t="shared" si="0"/>
        <v>45874</v>
      </c>
      <c r="N46" s="41">
        <f>'[1]1º TRIMESTRE'!N46</f>
        <v>0</v>
      </c>
      <c r="O46" s="42">
        <f>'[1]1º TRIMESTRE'!O46+1300125</f>
        <v>1300125</v>
      </c>
      <c r="P46" s="37">
        <f>'[1]1º TRIMESTRE'!P46+315102.34</f>
        <v>1011584.8400000001</v>
      </c>
      <c r="Q46" s="37" t="str">
        <f>'[1]1º TRIMESTRE'!Q46</f>
        <v>3.3.90.39</v>
      </c>
      <c r="R46" s="42">
        <f>'[1]1º TRIMESTRE'!R46+877050.86</f>
        <v>8201127.6799999997</v>
      </c>
      <c r="S46" s="42">
        <v>821121.4</v>
      </c>
      <c r="T46" s="42">
        <f>'[1]1º TRIMESTRE'!T46+S46</f>
        <v>2081397.12</v>
      </c>
      <c r="U46" s="42">
        <f>'[1]1º TRIMESTRE'!U46+S46</f>
        <v>8145198.2200000007</v>
      </c>
      <c r="V46" s="37" t="str">
        <f>'[1]1º TRIMESTRE'!V46</f>
        <v>andamento</v>
      </c>
    </row>
    <row r="47" spans="1:22" ht="33.75" x14ac:dyDescent="0.25">
      <c r="A47" s="35" t="str">
        <f>'[1]1º TRIMESTRE'!A47</f>
        <v>CONCORRÊNCIA Licitação: 009/2023</v>
      </c>
      <c r="B47" s="35" t="str">
        <f>'[1]1º TRIMESTRE'!B47</f>
        <v>REQUALIFICAÇÃO DE PISO E CRIAÇÃO DE ESPAÇOS DE CONVIVÊNCIA EM CEMITÉRIO PÚBLICOS. LOTE I - CEMITERIO DE SANTO AMARO</v>
      </c>
      <c r="C47" s="36">
        <v>0</v>
      </c>
      <c r="D47" s="37">
        <v>0</v>
      </c>
      <c r="E47" s="37">
        <v>0</v>
      </c>
      <c r="F47" s="37">
        <v>0</v>
      </c>
      <c r="G47" s="38" t="str">
        <f>'[1]1º TRIMESTRE'!G47</f>
        <v>05.625.079/0001-60</v>
      </c>
      <c r="H47" s="38" t="str">
        <f>'[1]1º TRIMESTRE'!H47</f>
        <v xml:space="preserve">CONSTRUTORA MARDIFI LTDA - EPP </v>
      </c>
      <c r="I47" s="37" t="str">
        <f>'[1]1º TRIMESTRE'!I47</f>
        <v>6-037/23</v>
      </c>
      <c r="J47" s="39">
        <f>'[1]1º TRIMESTRE'!J47</f>
        <v>45104</v>
      </c>
      <c r="K47" s="40">
        <f>'[1]1º TRIMESTRE'!K47</f>
        <v>210</v>
      </c>
      <c r="L47" s="37">
        <f>'[1]1º TRIMESTRE'!L47</f>
        <v>3970705.84</v>
      </c>
      <c r="M47" s="39">
        <f t="shared" si="0"/>
        <v>45464</v>
      </c>
      <c r="N47" s="41">
        <f>'[1]1º TRIMESTRE'!N47+60</f>
        <v>150</v>
      </c>
      <c r="O47" s="42">
        <f>'[1]1º TRIMESTRE'!O47</f>
        <v>750385.95</v>
      </c>
      <c r="P47" s="37">
        <f>'[1]1º TRIMESTRE'!P47</f>
        <v>0</v>
      </c>
      <c r="Q47" s="37" t="str">
        <f>'[1]1º TRIMESTRE'!Q47</f>
        <v>4.4.90.39</v>
      </c>
      <c r="R47" s="42">
        <f>'[1]1º TRIMESTRE'!R47+1008435.57</f>
        <v>4232742.6100000003</v>
      </c>
      <c r="S47" s="42">
        <v>905198.38</v>
      </c>
      <c r="T47" s="42">
        <f>'[1]1º TRIMESTRE'!T47+S47</f>
        <v>1498907.06</v>
      </c>
      <c r="U47" s="42">
        <f>'[1]1º TRIMESTRE'!U47+S47</f>
        <v>4129505.42</v>
      </c>
      <c r="V47" s="37" t="str">
        <f>'[1]1º TRIMESTRE'!V47</f>
        <v>andamento</v>
      </c>
    </row>
    <row r="48" spans="1:22" ht="33.75" x14ac:dyDescent="0.25">
      <c r="A48" s="35" t="str">
        <f>'[1]1º TRIMESTRE'!A48</f>
        <v>CONCORRÊNCIA Licitação: 009/2023</v>
      </c>
      <c r="B48" s="35" t="str">
        <f>'[1]1º TRIMESTRE'!B48</f>
        <v>REQUALIFICAÇÃO DE PISO E CRIAÇÃO DE ESPAÇOS DE CONVIVÊNCIA EM CEMITÉRIO PÚBLICOS. LOTE II - CEMITERIO PARQUE DAS FLORES</v>
      </c>
      <c r="C48" s="36">
        <v>0</v>
      </c>
      <c r="D48" s="37">
        <v>0</v>
      </c>
      <c r="E48" s="37">
        <v>0</v>
      </c>
      <c r="F48" s="37">
        <v>0</v>
      </c>
      <c r="G48" s="38" t="str">
        <f>'[1]1º TRIMESTRE'!G48</f>
        <v>05.625.079/0001-60</v>
      </c>
      <c r="H48" s="38" t="str">
        <f>'[1]1º TRIMESTRE'!H48</f>
        <v xml:space="preserve">CONSTRUTORA MARDIFI LTDA - EPP </v>
      </c>
      <c r="I48" s="37" t="str">
        <f>'[1]1º TRIMESTRE'!I48</f>
        <v>6-038/23</v>
      </c>
      <c r="J48" s="39">
        <f>'[1]1º TRIMESTRE'!J48</f>
        <v>45104</v>
      </c>
      <c r="K48" s="40">
        <f>'[1]1º TRIMESTRE'!K48</f>
        <v>210</v>
      </c>
      <c r="L48" s="37">
        <f>'[1]1º TRIMESTRE'!L48</f>
        <v>663682.94999999995</v>
      </c>
      <c r="M48" s="39">
        <f t="shared" si="0"/>
        <v>45314</v>
      </c>
      <c r="N48" s="41">
        <f>'[1]1º TRIMESTRE'!N48</f>
        <v>0</v>
      </c>
      <c r="O48" s="42">
        <f>'[1]1º TRIMESTRE'!O48</f>
        <v>161448.54</v>
      </c>
      <c r="P48" s="37">
        <f>'[1]1º TRIMESTRE'!P48</f>
        <v>0</v>
      </c>
      <c r="Q48" s="37" t="str">
        <f>'[1]1º TRIMESTRE'!Q48</f>
        <v>4.4.90.39</v>
      </c>
      <c r="R48" s="42">
        <f>'[1]1º TRIMESTRE'!R48</f>
        <v>825012.04</v>
      </c>
      <c r="S48" s="42">
        <v>0</v>
      </c>
      <c r="T48" s="42">
        <f>'[1]1º TRIMESTRE'!T48+S48</f>
        <v>0</v>
      </c>
      <c r="U48" s="42">
        <f>'[1]1º TRIMESTRE'!U48+S48</f>
        <v>825012.04</v>
      </c>
      <c r="V48" s="37" t="str">
        <f>'[1]1º TRIMESTRE'!V48</f>
        <v>encerrado</v>
      </c>
    </row>
    <row r="49" spans="1:22" ht="45" x14ac:dyDescent="0.25">
      <c r="A49" s="35" t="str">
        <f>'[1]1º TRIMESTRE'!A49</f>
        <v xml:space="preserve">  CONCORRÊNCIA Licitação: 004/2022</v>
      </c>
      <c r="B49" s="35" t="str">
        <f>'[1]1º TRIMESTRE'!B49</f>
        <v>IMPLANTAÇÃO DE CICLOVIA NA AV. AGAMENON MAGALHÃES NO TRECHO COMPREENDIDO ENTRE A RUA DR. LEOPOLDO LINS, NO BAIRRO DA BOA VISTA ATÉ A AVENIDA SATURTINO DE BRITO, NO BAIRRO DO CABANGA, RECIFE PE</v>
      </c>
      <c r="C49" s="36" t="s">
        <v>35</v>
      </c>
      <c r="D49" s="37" t="s">
        <v>36</v>
      </c>
      <c r="E49" s="37">
        <v>0</v>
      </c>
      <c r="F49" s="37">
        <v>0</v>
      </c>
      <c r="G49" s="38" t="str">
        <f>'[1]1º TRIMESTRE'!G49</f>
        <v>11.864.311/0001-15</v>
      </c>
      <c r="H49" s="38" t="str">
        <f>'[1]1º TRIMESTRE'!H49</f>
        <v>SBC SOCIEDADE BRASILEIRA DE CONSTRUCOES LTDA</v>
      </c>
      <c r="I49" s="37" t="str">
        <f>'[1]1º TRIMESTRE'!I49</f>
        <v>6-039/22</v>
      </c>
      <c r="J49" s="39">
        <f>'[1]1º TRIMESTRE'!J49</f>
        <v>44726</v>
      </c>
      <c r="K49" s="40">
        <f>'[1]1º TRIMESTRE'!K49</f>
        <v>337</v>
      </c>
      <c r="L49" s="37">
        <f>'[1]1º TRIMESTRE'!L49</f>
        <v>5966954.5499999998</v>
      </c>
      <c r="M49" s="39">
        <f t="shared" si="0"/>
        <v>45303</v>
      </c>
      <c r="N49" s="41">
        <f>'[1]1º TRIMESTRE'!N49</f>
        <v>240</v>
      </c>
      <c r="O49" s="42">
        <f>'[1]1º TRIMESTRE'!O49</f>
        <v>1342499.14</v>
      </c>
      <c r="P49" s="37">
        <f>'[1]1º TRIMESTRE'!P49</f>
        <v>460201</v>
      </c>
      <c r="Q49" s="37" t="str">
        <f>'[1]1º TRIMESTRE'!Q49</f>
        <v>4.4.90.39</v>
      </c>
      <c r="R49" s="42">
        <f>'[1]1º TRIMESTRE'!R49</f>
        <v>5639929.0499999998</v>
      </c>
      <c r="S49" s="42">
        <v>0</v>
      </c>
      <c r="T49" s="42">
        <f>'[1]1º TRIMESTRE'!T49+S49</f>
        <v>0</v>
      </c>
      <c r="U49" s="42">
        <f>'[1]1º TRIMESTRE'!U49+S49</f>
        <v>5639929.0499999998</v>
      </c>
      <c r="V49" s="37" t="str">
        <f>'[1]1º TRIMESTRE'!V49</f>
        <v>encerrado</v>
      </c>
    </row>
    <row r="50" spans="1:22" ht="33.75" x14ac:dyDescent="0.25">
      <c r="A50" s="35" t="str">
        <f>'[1]1º TRIMESTRE'!A50</f>
        <v>CONCORRÊNCIA Licitação: 008/2023</v>
      </c>
      <c r="B50" s="35" t="str">
        <f>'[1]1º TRIMESTRE'!B50</f>
        <v>SERVIÇOS DE IMPLANTAÇÃO DA REDE DE DRENAGEM DE ÁGUAS PLUVIAIS E PAVIMENTAÇÃO DE VIAS, EM ÁREAS URBANIZADAS, NA CIDADE DO RECIFE</v>
      </c>
      <c r="C50" s="36" t="s">
        <v>35</v>
      </c>
      <c r="D50" s="37" t="s">
        <v>36</v>
      </c>
      <c r="E50" s="37">
        <v>0</v>
      </c>
      <c r="F50" s="37">
        <v>0</v>
      </c>
      <c r="G50" s="38" t="str">
        <f>'[1]1º TRIMESTRE'!G50</f>
        <v>08.135.535/0001-81</v>
      </c>
      <c r="H50" s="38" t="str">
        <f>'[1]1º TRIMESTRE'!H50</f>
        <v>CONSTRUTORA FJ LTDA</v>
      </c>
      <c r="I50" s="37" t="str">
        <f>'[1]1º TRIMESTRE'!I50</f>
        <v>6-039/23</v>
      </c>
      <c r="J50" s="39">
        <f>'[1]1º TRIMESTRE'!J50</f>
        <v>45093</v>
      </c>
      <c r="K50" s="40">
        <f>'[1]1º TRIMESTRE'!K50</f>
        <v>240</v>
      </c>
      <c r="L50" s="37">
        <f>'[1]1º TRIMESTRE'!L50</f>
        <v>6119883.9699999997</v>
      </c>
      <c r="M50" s="39">
        <f t="shared" si="0"/>
        <v>45543</v>
      </c>
      <c r="N50" s="41">
        <f>'[1]1º TRIMESTRE'!N50+90</f>
        <v>210</v>
      </c>
      <c r="O50" s="42">
        <f>'[1]1º TRIMESTRE'!O50+572976</f>
        <v>1366021.75</v>
      </c>
      <c r="P50" s="37">
        <f>'[1]1º TRIMESTRE'!P50</f>
        <v>0</v>
      </c>
      <c r="Q50" s="37" t="str">
        <f>'[1]1º TRIMESTRE'!Q50</f>
        <v>4.4.90.39</v>
      </c>
      <c r="R50" s="42">
        <f>'[1]1º TRIMESTRE'!R50+1425726.06</f>
        <v>6151507.6799999997</v>
      </c>
      <c r="S50" s="42">
        <v>1146246.05</v>
      </c>
      <c r="T50" s="42">
        <f>'[1]1º TRIMESTRE'!T50+S50</f>
        <v>2265150.83</v>
      </c>
      <c r="U50" s="42">
        <f>'[1]1º TRIMESTRE'!U50+S50</f>
        <v>5872027.6799999997</v>
      </c>
      <c r="V50" s="37" t="str">
        <f>'[1]1º TRIMESTRE'!V50</f>
        <v>andamento</v>
      </c>
    </row>
    <row r="51" spans="1:22" ht="45" x14ac:dyDescent="0.25">
      <c r="A51" s="35" t="str">
        <f>'[1]1º TRIMESTRE'!A51</f>
        <v>CONCORRÊNCIA / Nº 005/2021</v>
      </c>
      <c r="B51" s="35" t="str">
        <f>'[1]1º TRIMESTRE'!B51</f>
        <v>CONTRATAÇÃO DE EMPRESA DE ENGENHARIA ESPECIALIZADA EM ILUMINAÇÃO PÚBLICA PARA REALIZAÇÃO DE MANUTENÇÃO PREVENTIVA E CORRETIVA DO SISTEMA DE ILUMINAÇÃO PÚBLICA ESPECIAL DO MUNICÍPIO DO RECIFE</v>
      </c>
      <c r="C51" s="36">
        <v>0</v>
      </c>
      <c r="D51" s="37">
        <v>0</v>
      </c>
      <c r="E51" s="37">
        <v>0</v>
      </c>
      <c r="F51" s="37">
        <v>0</v>
      </c>
      <c r="G51" s="38" t="str">
        <f>'[1]1º TRIMESTRE'!G51</f>
        <v>41.116.138/0001-38</v>
      </c>
      <c r="H51" s="38" t="str">
        <f>'[1]1º TRIMESTRE'!H51</f>
        <v>REAL ENERGY LTDA</v>
      </c>
      <c r="I51" s="37" t="str">
        <f>'[1]1º TRIMESTRE'!I51</f>
        <v>6-040/21</v>
      </c>
      <c r="J51" s="39">
        <f>'[1]1º TRIMESTRE'!J51</f>
        <v>44469</v>
      </c>
      <c r="K51" s="40">
        <f>'[1]1º TRIMESTRE'!K51</f>
        <v>920</v>
      </c>
      <c r="L51" s="37">
        <f>'[1]1º TRIMESTRE'!L51</f>
        <v>1730333.68</v>
      </c>
      <c r="M51" s="39">
        <f t="shared" si="0"/>
        <v>45389</v>
      </c>
      <c r="N51" s="41">
        <f>'[1]1º TRIMESTRE'!N51</f>
        <v>0</v>
      </c>
      <c r="O51" s="42">
        <f>'[1]1º TRIMESTRE'!O51</f>
        <v>0</v>
      </c>
      <c r="P51" s="37">
        <f>'[1]1º TRIMESTRE'!P51</f>
        <v>210037.76000000001</v>
      </c>
      <c r="Q51" s="37" t="str">
        <f>'[1]1º TRIMESTRE'!Q51</f>
        <v>3.3.90.39</v>
      </c>
      <c r="R51" s="42">
        <f>'[1]1º TRIMESTRE'!R51</f>
        <v>1372886.07</v>
      </c>
      <c r="S51" s="42">
        <v>0</v>
      </c>
      <c r="T51" s="42">
        <f>'[1]1º TRIMESTRE'!T51+S51</f>
        <v>0</v>
      </c>
      <c r="U51" s="42">
        <f>'[1]1º TRIMESTRE'!U51+S51</f>
        <v>1372886.07</v>
      </c>
      <c r="V51" s="37" t="str">
        <f>'[1]1º TRIMESTRE'!V51</f>
        <v>andamento</v>
      </c>
    </row>
    <row r="52" spans="1:22" ht="33.75" x14ac:dyDescent="0.25">
      <c r="A52" s="35" t="str">
        <f>'[1]1º TRIMESTRE'!A52</f>
        <v>CONCORRÊNCIA Licitação: 004/2023</v>
      </c>
      <c r="B52" s="35" t="str">
        <f>'[1]1º TRIMESTRE'!B52</f>
        <v>SERVIÇOS DE MANUTENÇÃO DO SISTEMA DA MICRODRENAGEM DE ÁGUAS PLUVIAIS DAS RPA 1 DA CIDADE DO RECIFE. LOTE I</v>
      </c>
      <c r="C52" s="36">
        <v>0</v>
      </c>
      <c r="D52" s="37">
        <v>0</v>
      </c>
      <c r="E52" s="37">
        <v>0</v>
      </c>
      <c r="F52" s="37">
        <v>0</v>
      </c>
      <c r="G52" s="38" t="str">
        <f>'[1]1º TRIMESTRE'!G52</f>
        <v>10.811.370/0001-62</v>
      </c>
      <c r="H52" s="38" t="str">
        <f>'[1]1º TRIMESTRE'!H52</f>
        <v>GUERRA CONSTRUCOES LTDA</v>
      </c>
      <c r="I52" s="37" t="str">
        <f>'[1]1º TRIMESTRE'!I52</f>
        <v>6-040/23</v>
      </c>
      <c r="J52" s="39">
        <f>'[1]1º TRIMESTRE'!J52</f>
        <v>45092</v>
      </c>
      <c r="K52" s="40">
        <f>'[1]1º TRIMESTRE'!K52</f>
        <v>1125</v>
      </c>
      <c r="L52" s="37">
        <f>'[1]1º TRIMESTRE'!L52</f>
        <v>29948485.25</v>
      </c>
      <c r="M52" s="39">
        <f t="shared" si="0"/>
        <v>46217</v>
      </c>
      <c r="N52" s="41">
        <f>'[1]1º TRIMESTRE'!N52</f>
        <v>0</v>
      </c>
      <c r="O52" s="42">
        <f>'[1]1º TRIMESTRE'!O52+2995049.79</f>
        <v>2995049.79</v>
      </c>
      <c r="P52" s="37">
        <f>'[1]1º TRIMESTRE'!P52</f>
        <v>0</v>
      </c>
      <c r="Q52" s="37" t="str">
        <f>'[1]1º TRIMESTRE'!Q52</f>
        <v>3.3.90.39</v>
      </c>
      <c r="R52" s="42">
        <f>'[1]1º TRIMESTRE'!R52+3498491.79</f>
        <v>10753656.219999999</v>
      </c>
      <c r="S52" s="42">
        <v>3569902</v>
      </c>
      <c r="T52" s="42">
        <f>'[1]1º TRIMESTRE'!T52+S52</f>
        <v>5541780.8100000005</v>
      </c>
      <c r="U52" s="42">
        <f>'[1]1º TRIMESTRE'!U52+S52</f>
        <v>10297389.32</v>
      </c>
      <c r="V52" s="37" t="str">
        <f>'[1]1º TRIMESTRE'!V52</f>
        <v>andamento</v>
      </c>
    </row>
    <row r="53" spans="1:22" ht="67.5" x14ac:dyDescent="0.25">
      <c r="A53" s="35" t="str">
        <f>'[1]1º TRIMESTRE'!A53</f>
        <v>CONCORRÊNCIA Licitação: 006/2021</v>
      </c>
      <c r="B53" s="35" t="str">
        <f>'[1]1º TRIMESTRE'!B53</f>
        <v>IMPLANTAÇÃO DA REDE DE DRENAGEM, PAVIMENTAÇÃO, ACESSIBILIDADE E SINALIZAÇÃO DAS RUAS DESEMBARGADOR VIRGÍLIO DE SA PEREIRA E MATHUZALEM WANDERLEY, LOCALIZADAS NO BAIRRO DO CORDEIRO. LOTE 02</v>
      </c>
      <c r="C53" s="36" t="s">
        <v>40</v>
      </c>
      <c r="D53" s="37" t="s">
        <v>41</v>
      </c>
      <c r="E53" s="37">
        <v>3820000</v>
      </c>
      <c r="F53" s="37">
        <v>8000</v>
      </c>
      <c r="G53" s="38" t="str">
        <f>'[1]1º TRIMESTRE'!G53</f>
        <v>02.724.778/0001-79</v>
      </c>
      <c r="H53" s="38" t="str">
        <f>'[1]1º TRIMESTRE'!H53</f>
        <v>UNITERRA - UNIAO TERRAPLENAGEM E CONSTRUCOES LTDA</v>
      </c>
      <c r="I53" s="37" t="str">
        <f>'[1]1º TRIMESTRE'!I53</f>
        <v>6-041/21</v>
      </c>
      <c r="J53" s="39">
        <f>'[1]1º TRIMESTRE'!J53</f>
        <v>44456</v>
      </c>
      <c r="K53" s="40">
        <f>'[1]1º TRIMESTRE'!K53</f>
        <v>180</v>
      </c>
      <c r="L53" s="37">
        <f>'[1]1º TRIMESTRE'!L53</f>
        <v>1022476.9</v>
      </c>
      <c r="M53" s="39">
        <f t="shared" si="0"/>
        <v>45384</v>
      </c>
      <c r="N53" s="41">
        <f>'[1]1º TRIMESTRE'!N53</f>
        <v>748</v>
      </c>
      <c r="O53" s="42">
        <f>'[1]1º TRIMESTRE'!O53</f>
        <v>0</v>
      </c>
      <c r="P53" s="37">
        <f>'[1]1º TRIMESTRE'!P53+115054.38</f>
        <v>114236.86</v>
      </c>
      <c r="Q53" s="37" t="str">
        <f>'[1]1º TRIMESTRE'!Q53</f>
        <v>4.4.90.39</v>
      </c>
      <c r="R53" s="42">
        <f>'[1]1º TRIMESTRE'!R53+322987.47</f>
        <v>706334.12999999989</v>
      </c>
      <c r="S53" s="42">
        <v>0</v>
      </c>
      <c r="T53" s="42">
        <f>'[1]1º TRIMESTRE'!T53+S53</f>
        <v>0</v>
      </c>
      <c r="U53" s="42">
        <f>'[1]1º TRIMESTRE'!U53+S53</f>
        <v>383346.66000000003</v>
      </c>
      <c r="V53" s="37" t="str">
        <f>'[1]1º TRIMESTRE'!V53</f>
        <v>andamento</v>
      </c>
    </row>
    <row r="54" spans="1:22" ht="33.75" x14ac:dyDescent="0.25">
      <c r="A54" s="35" t="str">
        <f>'[1]1º TRIMESTRE'!A54</f>
        <v>CONCORRÊNCIA Licitação: 004/2023</v>
      </c>
      <c r="B54" s="35" t="str">
        <f>'[1]1º TRIMESTRE'!B54</f>
        <v>SERVIÇOS DE MANUTENÇÃO DO SISTEMA DA MICRODRENAGEM DE ÁGUAS PLUVIAIS DAS RPAS 2 E 3 DA CIDADE DO RECIFE. LOTE II</v>
      </c>
      <c r="C54" s="36">
        <v>0</v>
      </c>
      <c r="D54" s="37">
        <v>0</v>
      </c>
      <c r="E54" s="37">
        <v>0</v>
      </c>
      <c r="F54" s="37">
        <v>0</v>
      </c>
      <c r="G54" s="38" t="str">
        <f>'[1]1º TRIMESTRE'!G54</f>
        <v>07.693.988/0001-60</v>
      </c>
      <c r="H54" s="38" t="str">
        <f>'[1]1º TRIMESTRE'!H54</f>
        <v>F R F ENGENHARIA LTDA</v>
      </c>
      <c r="I54" s="37" t="str">
        <f>'[1]1º TRIMESTRE'!I54</f>
        <v>6-041/23</v>
      </c>
      <c r="J54" s="39">
        <f>'[1]1º TRIMESTRE'!J54</f>
        <v>45092</v>
      </c>
      <c r="K54" s="40">
        <f>'[1]1º TRIMESTRE'!K54</f>
        <v>1125</v>
      </c>
      <c r="L54" s="37">
        <f>'[1]1º TRIMESTRE'!L54</f>
        <v>36023180.299999997</v>
      </c>
      <c r="M54" s="39">
        <f t="shared" si="0"/>
        <v>46217</v>
      </c>
      <c r="N54" s="41">
        <f>'[1]1º TRIMESTRE'!N54</f>
        <v>0</v>
      </c>
      <c r="O54" s="42">
        <f>'[1]1º TRIMESTRE'!O54</f>
        <v>2056726.69</v>
      </c>
      <c r="P54" s="37">
        <f>'[1]1º TRIMESTRE'!P54</f>
        <v>0</v>
      </c>
      <c r="Q54" s="37" t="str">
        <f>'[1]1º TRIMESTRE'!Q54</f>
        <v>3.3.90.39</v>
      </c>
      <c r="R54" s="42" t="e">
        <f>'[1]1º TRIMESTRE'!R54+2583835.01</f>
        <v>#REF!</v>
      </c>
      <c r="S54" s="42">
        <v>2816162.29</v>
      </c>
      <c r="T54" s="42">
        <f>'[1]1º TRIMESTRE'!T54+S54</f>
        <v>4530102.93</v>
      </c>
      <c r="U54" s="42">
        <f>'[1]1º TRIMESTRE'!U54+S54</f>
        <v>9181652.3000000007</v>
      </c>
      <c r="V54" s="37" t="str">
        <f>'[1]1º TRIMESTRE'!V54</f>
        <v>andamento</v>
      </c>
    </row>
    <row r="55" spans="1:22" ht="56.25" x14ac:dyDescent="0.25">
      <c r="A55" s="35" t="str">
        <f>'[1]1º TRIMESTRE'!A55</f>
        <v>CONCORRÊNCIA Licitação: 026/2022</v>
      </c>
      <c r="B55" s="35" t="str">
        <f>'[1]1º TRIMESTRE'!B55</f>
        <v>CONTRATAÇÃO DE EMPRESA DE ENGENHARIA PARA REALIZAÇÃO DE MANUTENÇÃO PREVENTIVA E CORRETIVA DO SISTEMA DE ILUMINAÇÃO PÚBLICA CONVENCIONAL DAS RPA`S 1 E 6 DO MUNICÍPIO DO RECIFE EM POSTES COM ATÉ 12 METROS DE ALTURA - LOTE I</v>
      </c>
      <c r="C55" s="36">
        <v>0</v>
      </c>
      <c r="D55" s="37">
        <v>0</v>
      </c>
      <c r="E55" s="37">
        <v>0</v>
      </c>
      <c r="F55" s="37">
        <v>0</v>
      </c>
      <c r="G55" s="38" t="str">
        <f>'[1]1º TRIMESTRE'!G55</f>
        <v>41.105.990/0001-00</v>
      </c>
      <c r="H55" s="38" t="str">
        <f>'[1]1º TRIMESTRE'!H55</f>
        <v>ENGERIP CONSTRUCOES E SERVICOS DE ENGENHARIA LTDA</v>
      </c>
      <c r="I55" s="37" t="str">
        <f>'[1]1º TRIMESTRE'!I55</f>
        <v>6-042/23</v>
      </c>
      <c r="J55" s="39">
        <f>'[1]1º TRIMESTRE'!J55</f>
        <v>45091</v>
      </c>
      <c r="K55" s="40">
        <f>'[1]1º TRIMESTRE'!K55</f>
        <v>760</v>
      </c>
      <c r="L55" s="37">
        <f>'[1]1º TRIMESTRE'!L55</f>
        <v>7947298.9000000004</v>
      </c>
      <c r="M55" s="39">
        <f t="shared" si="0"/>
        <v>45851</v>
      </c>
      <c r="N55" s="41">
        <f>'[1]1º TRIMESTRE'!N55</f>
        <v>0</v>
      </c>
      <c r="O55" s="42">
        <f>'[1]1º TRIMESTRE'!O55</f>
        <v>0</v>
      </c>
      <c r="P55" s="37">
        <f>'[1]1º TRIMESTRE'!P55</f>
        <v>0</v>
      </c>
      <c r="Q55" s="37" t="str">
        <f>'[1]1º TRIMESTRE'!Q55</f>
        <v>3.3.90.39</v>
      </c>
      <c r="R55" s="42">
        <f>'[1]1º TRIMESTRE'!R55+1121727.2</f>
        <v>2971770.2</v>
      </c>
      <c r="S55" s="42">
        <v>872020.8</v>
      </c>
      <c r="T55" s="42">
        <f>'[1]1º TRIMESTRE'!T55+S55</f>
        <v>1649184</v>
      </c>
      <c r="U55" s="42">
        <f>'[1]1º TRIMESTRE'!U55+S55</f>
        <v>2722063.8</v>
      </c>
      <c r="V55" s="37" t="str">
        <f>'[1]1º TRIMESTRE'!V55</f>
        <v>andamento</v>
      </c>
    </row>
    <row r="56" spans="1:22" ht="56.25" x14ac:dyDescent="0.25">
      <c r="A56" s="35" t="str">
        <f>'[1]1º TRIMESTRE'!A56</f>
        <v>CONCORRÊNCIA Licitação: 026/2022</v>
      </c>
      <c r="B56" s="35" t="str">
        <f>'[1]1º TRIMESTRE'!B56</f>
        <v>CONTRATAÇÃO DE EMPRESA DE ENGENHARIA PARA REALIZAÇÃO DE MANUTENÇÃO PREVENTIVA E CORRETIVA DO SISTEMA DE ILUMINAÇÃO PÚBLICA CONVENCIONAL DAS RPA`S 4 E 5 DO MUNICÍPIO DO RECIFE EM POSTES COM ATÉ 12 METROS DE ALTURA - LOTE III</v>
      </c>
      <c r="C56" s="36">
        <v>0</v>
      </c>
      <c r="D56" s="37">
        <v>0</v>
      </c>
      <c r="E56" s="37">
        <v>0</v>
      </c>
      <c r="F56" s="37">
        <v>0</v>
      </c>
      <c r="G56" s="38" t="str">
        <f>'[1]1º TRIMESTRE'!G56</f>
        <v>41.105.990/0001-00</v>
      </c>
      <c r="H56" s="38" t="str">
        <f>'[1]1º TRIMESTRE'!H56</f>
        <v>ENGERIP CONSTRUCOES E SERVICOS DE ENGENHARIA LTDA</v>
      </c>
      <c r="I56" s="37" t="str">
        <f>'[1]1º TRIMESTRE'!I56</f>
        <v>6-043/23</v>
      </c>
      <c r="J56" s="39">
        <f>'[1]1º TRIMESTRE'!J56</f>
        <v>45091</v>
      </c>
      <c r="K56" s="40">
        <f>'[1]1º TRIMESTRE'!K56</f>
        <v>760</v>
      </c>
      <c r="L56" s="37">
        <f>'[1]1º TRIMESTRE'!L56</f>
        <v>7782286.4199999999</v>
      </c>
      <c r="M56" s="39">
        <f t="shared" si="0"/>
        <v>45851</v>
      </c>
      <c r="N56" s="41">
        <f>'[1]1º TRIMESTRE'!N56</f>
        <v>0</v>
      </c>
      <c r="O56" s="42">
        <f>'[1]1º TRIMESTRE'!O56</f>
        <v>0</v>
      </c>
      <c r="P56" s="37">
        <f>'[1]1º TRIMESTRE'!P56</f>
        <v>0</v>
      </c>
      <c r="Q56" s="37" t="str">
        <f>'[1]1º TRIMESTRE'!Q56</f>
        <v>3.3.90.39</v>
      </c>
      <c r="R56" s="42">
        <f>'[1]1º TRIMESTRE'!R56+1119096</f>
        <v>3003739.2</v>
      </c>
      <c r="S56" s="42">
        <v>567596.16</v>
      </c>
      <c r="T56" s="42">
        <f>'[1]1º TRIMESTRE'!T56+S56</f>
        <v>1370701.44</v>
      </c>
      <c r="U56" s="42">
        <f>'[1]1º TRIMESTRE'!U56+S56</f>
        <v>2452239.3599999999</v>
      </c>
      <c r="V56" s="37" t="str">
        <f>'[1]1º TRIMESTRE'!V56</f>
        <v>andamento</v>
      </c>
    </row>
    <row r="57" spans="1:22" ht="45" x14ac:dyDescent="0.25">
      <c r="A57" s="35" t="str">
        <f>'[1]1º TRIMESTRE'!A57</f>
        <v>PREGÃO ELETRÔNICO Licitação : 007/2023</v>
      </c>
      <c r="B57" s="35" t="str">
        <f>'[1]1º TRIMESTRE'!B57</f>
        <v>FORNECIMENTO E INSTALAÇÃO DE ALAMBRADOS E PISO FULGET, VISANDO ATENDER A DEMANDA DE MANUTENÇÃO DE PARQUES, PRAÇAS E ÁREAS VERDES NA CIDADE DO RECIFE. PROCESSO: 15.000896/2023-62</v>
      </c>
      <c r="C57" s="36" t="s">
        <v>42</v>
      </c>
      <c r="D57" s="37" t="s">
        <v>43</v>
      </c>
      <c r="E57" s="37">
        <v>0</v>
      </c>
      <c r="F57" s="37">
        <v>0</v>
      </c>
      <c r="G57" s="38" t="str">
        <f>'[1]1º TRIMESTRE'!G57</f>
        <v>08.135.535/0001-81</v>
      </c>
      <c r="H57" s="38" t="str">
        <f>'[1]1º TRIMESTRE'!H57</f>
        <v>CONSTRUTORA FJ LTDA</v>
      </c>
      <c r="I57" s="37" t="str">
        <f>'[1]1º TRIMESTRE'!I57</f>
        <v>6-044/23</v>
      </c>
      <c r="J57" s="39">
        <f>'[1]1º TRIMESTRE'!J57</f>
        <v>0</v>
      </c>
      <c r="K57" s="40">
        <f>'[1]1º TRIMESTRE'!K57</f>
        <v>365</v>
      </c>
      <c r="L57" s="37">
        <f>'[1]1º TRIMESTRE'!L57</f>
        <v>8704779.25</v>
      </c>
      <c r="M57" s="39">
        <f t="shared" si="0"/>
        <v>365</v>
      </c>
      <c r="N57" s="41">
        <f>'[1]1º TRIMESTRE'!N57</f>
        <v>0</v>
      </c>
      <c r="O57" s="42">
        <f>'[1]1º TRIMESTRE'!O57</f>
        <v>0</v>
      </c>
      <c r="P57" s="37">
        <f>'[1]1º TRIMESTRE'!P57</f>
        <v>0</v>
      </c>
      <c r="Q57" s="37" t="str">
        <f>'[1]1º TRIMESTRE'!Q57</f>
        <v>4.4.90.39</v>
      </c>
      <c r="R57" s="42">
        <f>'[1]1º TRIMESTRE'!R57</f>
        <v>0</v>
      </c>
      <c r="S57" s="42"/>
      <c r="T57" s="42">
        <f>'[1]1º TRIMESTRE'!T57+S57</f>
        <v>0</v>
      </c>
      <c r="U57" s="42">
        <f>'[1]1º TRIMESTRE'!U57+S57</f>
        <v>0</v>
      </c>
      <c r="V57" s="37" t="str">
        <f>'[1]1º TRIMESTRE'!V57</f>
        <v>em elaboração (6.052/23)</v>
      </c>
    </row>
    <row r="58" spans="1:22" ht="33.75" x14ac:dyDescent="0.25">
      <c r="A58" s="35" t="str">
        <f>'[1]1º TRIMESTRE'!A58</f>
        <v>CONCORRÊNCIA Licitação: 005/2023</v>
      </c>
      <c r="B58" s="35" t="str">
        <f>'[1]1º TRIMESTRE'!B58</f>
        <v>SERVIÇOS DE REQUALIFICAÇÃO, MANUTENÇÃO PREVENTIVA E CORRETIVA DE PRAÇAS, PARQUES E ÁREAS VERDES, CANTEIROS DE AVENIDAS E REFÚGIOS DA CIDADE DO RECIFE LOTE I - RPA 1,2 E 3</v>
      </c>
      <c r="C58" s="36">
        <v>0</v>
      </c>
      <c r="D58" s="37">
        <v>0</v>
      </c>
      <c r="E58" s="37">
        <v>0</v>
      </c>
      <c r="F58" s="37">
        <v>0</v>
      </c>
      <c r="G58" s="38" t="str">
        <f>'[1]1º TRIMESTRE'!G58</f>
        <v>05.625.079/0001-60</v>
      </c>
      <c r="H58" s="38" t="str">
        <f>'[1]1º TRIMESTRE'!H58</f>
        <v xml:space="preserve">CONSTRUTORA MARDIFI LTDA - EPP </v>
      </c>
      <c r="I58" s="37" t="str">
        <f>'[1]1º TRIMESTRE'!I58</f>
        <v>6-045/23</v>
      </c>
      <c r="J58" s="39">
        <f>'[1]1º TRIMESTRE'!J58</f>
        <v>45124</v>
      </c>
      <c r="K58" s="40">
        <f>'[1]1º TRIMESTRE'!K58</f>
        <v>760</v>
      </c>
      <c r="L58" s="37">
        <f>'[1]1º TRIMESTRE'!L58</f>
        <v>14258024.6</v>
      </c>
      <c r="M58" s="39">
        <f t="shared" si="0"/>
        <v>45884</v>
      </c>
      <c r="N58" s="41">
        <f>'[1]1º TRIMESTRE'!N58</f>
        <v>0</v>
      </c>
      <c r="O58" s="42">
        <f>'[1]1º TRIMESTRE'!O58</f>
        <v>2578087.65</v>
      </c>
      <c r="P58" s="37">
        <f>'[1]1º TRIMESTRE'!P58</f>
        <v>0</v>
      </c>
      <c r="Q58" s="37" t="str">
        <f>'[1]1º TRIMESTRE'!Q58</f>
        <v>3.3.90.39</v>
      </c>
      <c r="R58" s="42">
        <f>'[1]1º TRIMESTRE'!R58+5935436.46</f>
        <v>11915985.620000001</v>
      </c>
      <c r="S58" s="42">
        <v>5935436.46</v>
      </c>
      <c r="T58" s="42">
        <f>'[1]1º TRIMESTRE'!T58+S58</f>
        <v>6637855.4000000004</v>
      </c>
      <c r="U58" s="42">
        <f>'[1]1º TRIMESTRE'!U58+S58</f>
        <v>11915985.620000001</v>
      </c>
      <c r="V58" s="37" t="str">
        <f>'[1]1º TRIMESTRE'!V58</f>
        <v>andamento</v>
      </c>
    </row>
    <row r="59" spans="1:22" ht="33.75" x14ac:dyDescent="0.25">
      <c r="A59" s="35" t="str">
        <f>'[1]1º TRIMESTRE'!A59</f>
        <v>CONCORRÊNCIA Licitação: 006/2022</v>
      </c>
      <c r="B59" s="35" t="str">
        <f>'[1]1º TRIMESTRE'!B59</f>
        <v>RECUPERAÇÃO DE CONTENÇÃO DE CANAIS, NAS DIVERSAS REGIÃO POLITICO ADMINISTRATIVA RPA'S DA CIDADE DO RECIFE</v>
      </c>
      <c r="C59" s="36" t="s">
        <v>38</v>
      </c>
      <c r="D59" s="37" t="s">
        <v>39</v>
      </c>
      <c r="E59" s="37">
        <v>0</v>
      </c>
      <c r="F59" s="37">
        <v>0</v>
      </c>
      <c r="G59" s="38" t="str">
        <f>'[1]1º TRIMESTRE'!G59</f>
        <v>10.811.370/0001-62</v>
      </c>
      <c r="H59" s="38" t="str">
        <f>'[1]1º TRIMESTRE'!H59</f>
        <v>GUERRA CONSTRUCOES LTDA</v>
      </c>
      <c r="I59" s="37" t="str">
        <f>'[1]1º TRIMESTRE'!I59</f>
        <v>6-046/22</v>
      </c>
      <c r="J59" s="39">
        <f>'[1]1º TRIMESTRE'!J59</f>
        <v>44776</v>
      </c>
      <c r="K59" s="40">
        <f>'[1]1º TRIMESTRE'!K59</f>
        <v>600</v>
      </c>
      <c r="L59" s="37">
        <f>'[1]1º TRIMESTRE'!L59</f>
        <v>6573647.8899999997</v>
      </c>
      <c r="M59" s="39">
        <f t="shared" si="0"/>
        <v>45376</v>
      </c>
      <c r="N59" s="41">
        <f>'[1]1º TRIMESTRE'!N59</f>
        <v>0</v>
      </c>
      <c r="O59" s="42">
        <f>'[1]1º TRIMESTRE'!O59</f>
        <v>1643633.29</v>
      </c>
      <c r="P59" s="37">
        <f>'[1]1º TRIMESTRE'!P59</f>
        <v>0</v>
      </c>
      <c r="Q59" s="37" t="str">
        <f>'[1]1º TRIMESTRE'!Q59</f>
        <v>4.4.90.39</v>
      </c>
      <c r="R59" s="42">
        <f>'[1]1º TRIMESTRE'!R59</f>
        <v>6399453.0099999998</v>
      </c>
      <c r="S59" s="42">
        <v>0</v>
      </c>
      <c r="T59" s="42">
        <f>'[1]1º TRIMESTRE'!T59+S59</f>
        <v>0</v>
      </c>
      <c r="U59" s="42">
        <f>'[1]1º TRIMESTRE'!U59+S59</f>
        <v>6399453.0099999998</v>
      </c>
      <c r="V59" s="37" t="s">
        <v>37</v>
      </c>
    </row>
    <row r="60" spans="1:22" ht="33.75" x14ac:dyDescent="0.25">
      <c r="A60" s="35" t="str">
        <f>'[1]1º TRIMESTRE'!A60</f>
        <v>CONCORRÊNCIA Licitação: 005/2023</v>
      </c>
      <c r="B60" s="35" t="str">
        <f>'[1]1º TRIMESTRE'!B60</f>
        <v>SERVIÇOS DE REQUALIFICAÇÃO, MANUTENÇÃO PREVENTIVA E CORRETIVA DE PRAÇAS, PARQUES E ÁREAS VERDES, CANTEIROS DE AVENIDAS E REFÚGIOS DA CIDADE DO RECIFE LOTE II - RPA 4,5 E 6</v>
      </c>
      <c r="C60" s="36">
        <v>0</v>
      </c>
      <c r="D60" s="37">
        <v>0</v>
      </c>
      <c r="E60" s="37">
        <v>0</v>
      </c>
      <c r="F60" s="37">
        <v>0</v>
      </c>
      <c r="G60" s="38" t="str">
        <f>'[1]1º TRIMESTRE'!G60</f>
        <v>10.698.641/0001-15</v>
      </c>
      <c r="H60" s="38" t="str">
        <f>'[1]1º TRIMESTRE'!H60</f>
        <v>CONSTRUTORA MASTER EIRELI ME</v>
      </c>
      <c r="I60" s="37" t="str">
        <f>'[1]1º TRIMESTRE'!I60</f>
        <v>6-046/23</v>
      </c>
      <c r="J60" s="39">
        <f>'[1]1º TRIMESTRE'!J60</f>
        <v>45124</v>
      </c>
      <c r="K60" s="40">
        <f>'[1]1º TRIMESTRE'!K60</f>
        <v>760</v>
      </c>
      <c r="L60" s="37">
        <f>'[1]1º TRIMESTRE'!L60</f>
        <v>14460208.800000001</v>
      </c>
      <c r="M60" s="39">
        <f t="shared" si="0"/>
        <v>45884</v>
      </c>
      <c r="N60" s="41">
        <f>'[1]1º TRIMESTRE'!N60</f>
        <v>0</v>
      </c>
      <c r="O60" s="42">
        <f>'[1]1º TRIMESTRE'!O60</f>
        <v>1894636.72</v>
      </c>
      <c r="P60" s="37">
        <f>'[1]1º TRIMESTRE'!P60</f>
        <v>0</v>
      </c>
      <c r="Q60" s="37" t="str">
        <f>'[1]1º TRIMESTRE'!Q60</f>
        <v>3.3.90.39</v>
      </c>
      <c r="R60" s="42">
        <f>'[1]1º TRIMESTRE'!R60+3358653.68</f>
        <v>8069197.8399999999</v>
      </c>
      <c r="S60" s="42">
        <f>2896280.88+161335.8</f>
        <v>3057616.6799999997</v>
      </c>
      <c r="T60" s="42">
        <f>'[1]1º TRIMESTRE'!T60+S60</f>
        <v>3635133.3</v>
      </c>
      <c r="U60" s="42">
        <f>'[1]1º TRIMESTRE'!U60+S60</f>
        <v>7606815.9899999993</v>
      </c>
      <c r="V60" s="37" t="str">
        <f>'[1]1º TRIMESTRE'!V60</f>
        <v>andamento</v>
      </c>
    </row>
    <row r="61" spans="1:22" ht="56.25" x14ac:dyDescent="0.25">
      <c r="A61" s="35" t="str">
        <f>'[1]1º TRIMESTRE'!A61</f>
        <v>CONCORRÊNCIA Licitação: 005/2022</v>
      </c>
      <c r="B61" s="35" t="str">
        <f>'[1]1º TRIMESTRE'!B61</f>
        <v>CONTRATAÇÃO DE EMPRESA DE ENGENHARIA ESPECIALIZADA EM ILUMINAÇÃO PÚBLICA PARA FORNECIMENTO E INSTALAÇÃO DE SISTEMA DE PROTEÇÃO CONTRA VAZAMENTO DE CORRENTE E ATERRAMENTO NOS POSTES EXCLUSIVOS DE ILUMINAÇÃO PÚBLICA NA CIDADE DO RECIFE/PE</v>
      </c>
      <c r="C61" s="36">
        <v>0</v>
      </c>
      <c r="D61" s="37">
        <v>0</v>
      </c>
      <c r="E61" s="37">
        <v>0</v>
      </c>
      <c r="F61" s="37">
        <v>0</v>
      </c>
      <c r="G61" s="38" t="str">
        <f>'[1]1º TRIMESTRE'!G61</f>
        <v>41.116.138/0001-38</v>
      </c>
      <c r="H61" s="38" t="str">
        <f>'[1]1º TRIMESTRE'!H61</f>
        <v>REAL ENERGY LTDA</v>
      </c>
      <c r="I61" s="37" t="str">
        <f>'[1]1º TRIMESTRE'!I61</f>
        <v>6-047/22</v>
      </c>
      <c r="J61" s="39">
        <f>'[1]1º TRIMESTRE'!J61</f>
        <v>44774</v>
      </c>
      <c r="K61" s="40">
        <f>'[1]1º TRIMESTRE'!K61</f>
        <v>760</v>
      </c>
      <c r="L61" s="37">
        <f>'[1]1º TRIMESTRE'!L61</f>
        <v>3890767.22</v>
      </c>
      <c r="M61" s="39">
        <f t="shared" si="0"/>
        <v>45534</v>
      </c>
      <c r="N61" s="41">
        <f>'[1]1º TRIMESTRE'!N61</f>
        <v>0</v>
      </c>
      <c r="O61" s="42">
        <f>'[1]1º TRIMESTRE'!O61</f>
        <v>452758.85</v>
      </c>
      <c r="P61" s="37">
        <f>'[1]1º TRIMESTRE'!P61+152082.4</f>
        <v>152082.4</v>
      </c>
      <c r="Q61" s="37" t="str">
        <f>'[1]1º TRIMESTRE'!Q61</f>
        <v>3.3.90.39</v>
      </c>
      <c r="R61" s="42">
        <f>'[1]1º TRIMESTRE'!R61+408704.68</f>
        <v>2490225.02</v>
      </c>
      <c r="S61" s="42">
        <v>236968.26</v>
      </c>
      <c r="T61" s="42">
        <f>'[1]1º TRIMESTRE'!T61+S61</f>
        <v>557528.31000000006</v>
      </c>
      <c r="U61" s="42">
        <f>'[1]1º TRIMESTRE'!U61+S61</f>
        <v>2318488.6000000006</v>
      </c>
      <c r="V61" s="37" t="str">
        <f>'[1]1º TRIMESTRE'!V61</f>
        <v>andamento</v>
      </c>
    </row>
    <row r="62" spans="1:22" ht="45" x14ac:dyDescent="0.25">
      <c r="A62" s="35" t="str">
        <f>'[1]1º TRIMESTRE'!A62</f>
        <v>PREGÃO ELETRÔNICO Licitação : 013/2023</v>
      </c>
      <c r="B62" s="35" t="str">
        <f>'[1]1º TRIMESTRE'!B62</f>
        <v>EXECUÇÃO DE SERVIÇOS PARA IMPLANTAÇÃO E CONSERVÇÃO DE PAISAGISMO DE PARQUES, PRAÇAS E ÁREAS VERDES DA CIDADE DO RECIFE. 15.002149/2023-69</v>
      </c>
      <c r="C62" s="36">
        <v>0</v>
      </c>
      <c r="D62" s="37">
        <v>0</v>
      </c>
      <c r="E62" s="37">
        <v>0</v>
      </c>
      <c r="F62" s="37">
        <v>0</v>
      </c>
      <c r="G62" s="38" t="str">
        <f>'[1]1º TRIMESTRE'!G62</f>
        <v>08.963.533/0001-80</v>
      </c>
      <c r="H62" s="38" t="str">
        <f>'[1]1º TRIMESTRE'!H62</f>
        <v>FAR COMERCIO E SERVIÇOS PAISAGISTICOS LTDA</v>
      </c>
      <c r="I62" s="37" t="str">
        <f>'[1]1º TRIMESTRE'!I62</f>
        <v>6-047/23</v>
      </c>
      <c r="J62" s="39">
        <f>'[1]1º TRIMESTRE'!J62</f>
        <v>0</v>
      </c>
      <c r="K62" s="40">
        <f>'[1]1º TRIMESTRE'!K62</f>
        <v>365</v>
      </c>
      <c r="L62" s="37">
        <f>'[1]1º TRIMESTRE'!L62</f>
        <v>29849994.719999999</v>
      </c>
      <c r="M62" s="39">
        <f t="shared" si="0"/>
        <v>365</v>
      </c>
      <c r="N62" s="41">
        <f>'[1]1º TRIMESTRE'!N62</f>
        <v>0</v>
      </c>
      <c r="O62" s="42">
        <f>'[1]1º TRIMESTRE'!O62</f>
        <v>0</v>
      </c>
      <c r="P62" s="37">
        <f>'[1]1º TRIMESTRE'!P62</f>
        <v>0</v>
      </c>
      <c r="Q62" s="37" t="str">
        <f>'[1]1º TRIMESTRE'!Q62</f>
        <v>3.3.90.39</v>
      </c>
      <c r="R62" s="42">
        <f>'[1]1º TRIMESTRE'!R62</f>
        <v>0</v>
      </c>
      <c r="S62" s="42"/>
      <c r="T62" s="42">
        <f>'[1]1º TRIMESTRE'!T62+S62</f>
        <v>0</v>
      </c>
      <c r="U62" s="42">
        <f>'[1]1º TRIMESTRE'!U62+S62</f>
        <v>0</v>
      </c>
      <c r="V62" s="37" t="str">
        <f>'[1]1º TRIMESTRE'!V62</f>
        <v>em elaboração</v>
      </c>
    </row>
    <row r="63" spans="1:22" ht="56.25" x14ac:dyDescent="0.25">
      <c r="A63" s="35" t="str">
        <f>'[1]1º TRIMESTRE'!A63</f>
        <v>PREGÃO ELETRÔNICO Licitação: 012/2022</v>
      </c>
      <c r="B63" s="35" t="str">
        <f>'[1]1º TRIMESTRE'!B63</f>
        <v>CONTRATAÇÃO DE EMPRESA DE ENGENHARIA ESPECIALIZADA EM ILUMINAÇÃO PÚBLICA, PARA EXECUÇÃO DOS SERVIÇOS DE MANUTENÇÃO CONTÍNUA, CORRETIVA E PREVENTIVA, DO SISTEMA DE ILUMINAÇÃO PÚBLICA ESPECIAL DA CIDADE DO RECIFE, EM POSTES ACIMA DE 12 METROS DE ALTURA</v>
      </c>
      <c r="C63" s="36">
        <v>0</v>
      </c>
      <c r="D63" s="37">
        <v>0</v>
      </c>
      <c r="E63" s="37">
        <v>0</v>
      </c>
      <c r="F63" s="37">
        <v>0</v>
      </c>
      <c r="G63" s="38" t="str">
        <f>'[1]1º TRIMESTRE'!G63</f>
        <v>32.185.141/0001-12</v>
      </c>
      <c r="H63" s="38" t="str">
        <f>'[1]1º TRIMESTRE'!H63</f>
        <v>CASTRO &amp; ROCHA LTDA</v>
      </c>
      <c r="I63" s="37" t="str">
        <f>'[1]1º TRIMESTRE'!I63</f>
        <v>6-048/22</v>
      </c>
      <c r="J63" s="39">
        <f>'[1]1º TRIMESTRE'!J63</f>
        <v>44776</v>
      </c>
      <c r="K63" s="40">
        <f>'[1]1º TRIMESTRE'!K63</f>
        <v>907</v>
      </c>
      <c r="L63" s="37">
        <f>'[1]1º TRIMESTRE'!L63</f>
        <v>2538999.92</v>
      </c>
      <c r="M63" s="39">
        <f t="shared" si="0"/>
        <v>45683</v>
      </c>
      <c r="N63" s="41">
        <f>'[1]1º TRIMESTRE'!N63</f>
        <v>0</v>
      </c>
      <c r="O63" s="42">
        <f>'[1]1º TRIMESTRE'!O63</f>
        <v>0</v>
      </c>
      <c r="P63" s="37">
        <f>'[1]1º TRIMESTRE'!P63</f>
        <v>0</v>
      </c>
      <c r="Q63" s="37" t="str">
        <f>'[1]1º TRIMESTRE'!Q63</f>
        <v>3.3.90.39</v>
      </c>
      <c r="R63" s="42">
        <f>'[1]1º TRIMESTRE'!R63+247842.15</f>
        <v>1562131.14</v>
      </c>
      <c r="S63" s="42">
        <v>247842.15</v>
      </c>
      <c r="T63" s="42">
        <f>'[1]1º TRIMESTRE'!T63+S63</f>
        <v>403648.30999999994</v>
      </c>
      <c r="U63" s="42">
        <f>'[1]1º TRIMESTRE'!U63+S63</f>
        <v>1562131.14</v>
      </c>
      <c r="V63" s="37" t="str">
        <f>'[1]1º TRIMESTRE'!V63</f>
        <v>andamento</v>
      </c>
    </row>
    <row r="64" spans="1:22" ht="45" x14ac:dyDescent="0.25">
      <c r="A64" s="35" t="str">
        <f>'[1]1º TRIMESTRE'!A64</f>
        <v>CONCORRÊNCIA Licitação: 006/2023</v>
      </c>
      <c r="B64" s="35" t="str">
        <f>'[1]1º TRIMESTRE'!B64</f>
        <v>SERVIÇOS DE IMPLANTAÇÃO DA REDE DE DRENAGEM DE ÁGUAS PLUVIAIS E PAVIMENTAÇÃO DE VIAS, EM ÁREAS URBANIZADAS, NA CIDADE DO RECIFE</v>
      </c>
      <c r="C64" s="36" t="s">
        <v>35</v>
      </c>
      <c r="D64" s="37" t="s">
        <v>36</v>
      </c>
      <c r="E64" s="37">
        <v>0</v>
      </c>
      <c r="F64" s="37">
        <v>0</v>
      </c>
      <c r="G64" s="38" t="str">
        <f>'[1]1º TRIMESTRE'!G64</f>
        <v>31.661.468/0001-50</v>
      </c>
      <c r="H64" s="38" t="str">
        <f>'[1]1º TRIMESTRE'!H64</f>
        <v>CONVERGE SERVICOS DE ENGENHARIA LTDA</v>
      </c>
      <c r="I64" s="37" t="str">
        <f>'[1]1º TRIMESTRE'!I64</f>
        <v>6-048/23</v>
      </c>
      <c r="J64" s="39">
        <f>'[1]1º TRIMESTRE'!J64</f>
        <v>45147</v>
      </c>
      <c r="K64" s="40">
        <f>'[1]1º TRIMESTRE'!K64</f>
        <v>210</v>
      </c>
      <c r="L64" s="37">
        <f>'[1]1º TRIMESTRE'!L64</f>
        <v>4564632.83</v>
      </c>
      <c r="M64" s="39">
        <f t="shared" si="0"/>
        <v>45507</v>
      </c>
      <c r="N64" s="41">
        <f>'[1]1º TRIMESTRE'!N64</f>
        <v>150</v>
      </c>
      <c r="O64" s="42">
        <f>'[1]1º TRIMESTRE'!O64</f>
        <v>325780.53999999998</v>
      </c>
      <c r="P64" s="37">
        <f>'[1]1º TRIMESTRE'!P64</f>
        <v>0</v>
      </c>
      <c r="Q64" s="37" t="str">
        <f>'[1]1º TRIMESTRE'!Q64</f>
        <v>4.4.90.39</v>
      </c>
      <c r="R64" s="42">
        <f>'[1]1º TRIMESTRE'!R64+1023915.5</f>
        <v>4048422.95</v>
      </c>
      <c r="S64" s="42">
        <v>1023915.5</v>
      </c>
      <c r="T64" s="42">
        <f>'[1]1º TRIMESTRE'!T64+S64</f>
        <v>2266226.77</v>
      </c>
      <c r="U64" s="42">
        <f>'[1]1º TRIMESTRE'!U64+S64</f>
        <v>4048422.95</v>
      </c>
      <c r="V64" s="37" t="str">
        <f>'[1]1º TRIMESTRE'!V64</f>
        <v>andamento</v>
      </c>
    </row>
    <row r="65" spans="1:22" ht="45" x14ac:dyDescent="0.25">
      <c r="A65" s="35" t="str">
        <f>'[1]1º TRIMESTRE'!A65</f>
        <v>PREGÃO ELETRÔNICO Licitação: 001/2022</v>
      </c>
      <c r="B65" s="35" t="str">
        <f>'[1]1º TRIMESTRE'!B65</f>
        <v xml:space="preserve"> RECEBIMENTO, TRATAMENTO E DISPOSIÇÃO FINAL DE RESÍDUOS SÓLIDOS URBANOS CLASSE IIA E CLASSE IIB COLETADOS PELA EMLURB NO MUNICÍPIO DE RECIFE, NOS LOTES ABAIXO ESPECIFICADOS E SUAS RESPECTIVAS QUANTIDADES ESTIMATIVAS. LOTE I</v>
      </c>
      <c r="C65" s="36">
        <v>0</v>
      </c>
      <c r="D65" s="37">
        <v>0</v>
      </c>
      <c r="E65" s="37">
        <v>0</v>
      </c>
      <c r="F65" s="37">
        <v>0</v>
      </c>
      <c r="G65" s="38" t="str">
        <f>'[1]1º TRIMESTRE'!G65</f>
        <v>03.279.285/0027-79</v>
      </c>
      <c r="H65" s="38" t="str">
        <f>'[1]1º TRIMESTRE'!H65</f>
        <v>ORIZON MEIO AMBIENTE S.A.</v>
      </c>
      <c r="I65" s="37" t="str">
        <f>'[1]1º TRIMESTRE'!I65</f>
        <v>6-049/22</v>
      </c>
      <c r="J65" s="39">
        <f>'[1]1º TRIMESTRE'!J65</f>
        <v>44775</v>
      </c>
      <c r="K65" s="40">
        <f>'[1]1º TRIMESTRE'!K65</f>
        <v>365</v>
      </c>
      <c r="L65" s="37">
        <f>'[1]1º TRIMESTRE'!L65</f>
        <v>50446292</v>
      </c>
      <c r="M65" s="39">
        <f t="shared" si="0"/>
        <v>45506</v>
      </c>
      <c r="N65" s="41">
        <f>'[1]1º TRIMESTRE'!N65</f>
        <v>366</v>
      </c>
      <c r="O65" s="42">
        <f>'[1]1º TRIMESTRE'!O65</f>
        <v>55333093.280000001</v>
      </c>
      <c r="P65" s="37">
        <f>'[1]1º TRIMESTRE'!P65</f>
        <v>1586090</v>
      </c>
      <c r="Q65" s="37" t="str">
        <f>'[1]1º TRIMESTRE'!Q65</f>
        <v>3.3.90.39</v>
      </c>
      <c r="R65" s="42">
        <f>'[1]1º TRIMESTRE'!R65+11432926.91</f>
        <v>81213065.859999999</v>
      </c>
      <c r="S65" s="42">
        <v>15084238.23</v>
      </c>
      <c r="T65" s="42">
        <f>'[1]1º TRIMESTRE'!T65+S65</f>
        <v>23053613.420000002</v>
      </c>
      <c r="U65" s="42">
        <f>'[1]1º TRIMESTRE'!U65+S65</f>
        <v>80680762.850000009</v>
      </c>
      <c r="V65" s="37" t="str">
        <f>'[1]1º TRIMESTRE'!V65</f>
        <v>andamento</v>
      </c>
    </row>
    <row r="66" spans="1:22" ht="56.25" x14ac:dyDescent="0.25">
      <c r="A66" s="35" t="str">
        <f>'[1]1º TRIMESTRE'!A66</f>
        <v>CONCORRÊNCIA Licitação: 002/2023</v>
      </c>
      <c r="B66" s="35" t="str">
        <f>'[1]1º TRIMESTRE'!B66</f>
        <v>CONTRATAÇÃO DE EMPRESA DE ENGENHARIA, ESPECIALIZADA EM ILUMINAÇÃO PÚBLICA, PARA REALIZARÇÃO DE SERVIÇOS DE MANUTENÇÃO E INSTALAÇÕES PROVISÓRIAS NO SISTEMA DE ILUMINAÇÃO PÚBLICA ESPECIAL DO MUNICÍPIO DO RECIFE EM POSTES COM ATÉ 12 METROS DE ALTURA</v>
      </c>
      <c r="C66" s="36">
        <v>0</v>
      </c>
      <c r="D66" s="37">
        <v>0</v>
      </c>
      <c r="E66" s="37">
        <v>0</v>
      </c>
      <c r="F66" s="37">
        <v>0</v>
      </c>
      <c r="G66" s="38" t="str">
        <f>'[1]1º TRIMESTRE'!G66</f>
        <v>32.185.141/0001-12</v>
      </c>
      <c r="H66" s="38" t="str">
        <f>'[1]1º TRIMESTRE'!H66</f>
        <v>CASTRO &amp; ROCHA LTDA</v>
      </c>
      <c r="I66" s="37" t="str">
        <f>'[1]1º TRIMESTRE'!I66</f>
        <v>6-049/23</v>
      </c>
      <c r="J66" s="39">
        <f>'[1]1º TRIMESTRE'!J66</f>
        <v>45117</v>
      </c>
      <c r="K66" s="40">
        <f>'[1]1º TRIMESTRE'!K66</f>
        <v>760</v>
      </c>
      <c r="L66" s="37">
        <f>'[1]1º TRIMESTRE'!L66</f>
        <v>7891811.4000000004</v>
      </c>
      <c r="M66" s="39">
        <f t="shared" si="0"/>
        <v>45877</v>
      </c>
      <c r="N66" s="41">
        <f>'[1]1º TRIMESTRE'!N66</f>
        <v>0</v>
      </c>
      <c r="O66" s="42">
        <f>'[1]1º TRIMESTRE'!O66</f>
        <v>0</v>
      </c>
      <c r="P66" s="37">
        <f>'[1]1º TRIMESTRE'!P66</f>
        <v>0</v>
      </c>
      <c r="Q66" s="37" t="str">
        <f>'[1]1º TRIMESTRE'!Q66</f>
        <v>3.3.90.39</v>
      </c>
      <c r="R66" s="42">
        <f>'[1]1º TRIMESTRE'!R66+901757.76</f>
        <v>2483621.7400000002</v>
      </c>
      <c r="S66" s="42">
        <v>901757.76</v>
      </c>
      <c r="T66" s="42">
        <f>'[1]1º TRIMESTRE'!T66+S66</f>
        <v>1529203.81</v>
      </c>
      <c r="U66" s="42">
        <f>'[1]1º TRIMESTRE'!U66+S66</f>
        <v>2483621.7400000002</v>
      </c>
      <c r="V66" s="37" t="str">
        <f>'[1]1º TRIMESTRE'!V66</f>
        <v>andamento</v>
      </c>
    </row>
    <row r="67" spans="1:22" ht="45" x14ac:dyDescent="0.25">
      <c r="A67" s="35" t="str">
        <f>'[1]1º TRIMESTRE'!A67</f>
        <v>PREGÃO ELETRÔNICO Licitação: 001/2022</v>
      </c>
      <c r="B67" s="35" t="str">
        <f>'[1]1º TRIMESTRE'!B67</f>
        <v>RECEBIMENTO, TRATAMENTO E DISPOSIÇÃO FINAL DE RESÍDUOS SÓLIDOS URBANOS CLASSE IIA E CLASSE IIB COLETADOS PELA EMLURB NO MUNICÍPIO DE RECIFE, NOS LOTES ABAIXO ESPECIFICADOS E SUAS RESPECTIVAS QUANTIDADES ESTIMATIVAS. LOTE II</v>
      </c>
      <c r="C67" s="36">
        <v>0</v>
      </c>
      <c r="D67" s="37">
        <v>0</v>
      </c>
      <c r="E67" s="37">
        <v>0</v>
      </c>
      <c r="F67" s="37">
        <v>0</v>
      </c>
      <c r="G67" s="38" t="str">
        <f>'[1]1º TRIMESTRE'!G67</f>
        <v>03.279.285/0027-79</v>
      </c>
      <c r="H67" s="38" t="str">
        <f>'[1]1º TRIMESTRE'!H67</f>
        <v>ORIZON MEIO AMBIENTE S.A.</v>
      </c>
      <c r="I67" s="37" t="str">
        <f>'[1]1º TRIMESTRE'!I67</f>
        <v>6-050/22</v>
      </c>
      <c r="J67" s="39">
        <f>'[1]1º TRIMESTRE'!J67</f>
        <v>44775</v>
      </c>
      <c r="K67" s="40">
        <f>'[1]1º TRIMESTRE'!K67</f>
        <v>365</v>
      </c>
      <c r="L67" s="37">
        <f>'[1]1º TRIMESTRE'!L67</f>
        <v>12552600</v>
      </c>
      <c r="M67" s="39">
        <f t="shared" si="0"/>
        <v>45506</v>
      </c>
      <c r="N67" s="41">
        <f>'[1]1º TRIMESTRE'!N67</f>
        <v>366</v>
      </c>
      <c r="O67" s="42">
        <f>'[1]1º TRIMESTRE'!O67</f>
        <v>13828998.720000001</v>
      </c>
      <c r="P67" s="37">
        <f>'[1]1º TRIMESTRE'!P67</f>
        <v>394500</v>
      </c>
      <c r="Q67" s="37" t="str">
        <f>'[1]1º TRIMESTRE'!Q67</f>
        <v>3.3.90.39</v>
      </c>
      <c r="R67" s="42">
        <f>'[1]1º TRIMESTRE'!R67+2748287</f>
        <v>19643261.98</v>
      </c>
      <c r="S67" s="42">
        <v>3955993.68</v>
      </c>
      <c r="T67" s="42">
        <f>'[1]1º TRIMESTRE'!T67+S67</f>
        <v>5592740.3900000006</v>
      </c>
      <c r="U67" s="42">
        <f>'[1]1º TRIMESTRE'!U67+S67</f>
        <v>19535959.210000001</v>
      </c>
      <c r="V67" s="37" t="str">
        <f>'[1]1º TRIMESTRE'!V67</f>
        <v>andamento</v>
      </c>
    </row>
    <row r="68" spans="1:22" ht="45" x14ac:dyDescent="0.25">
      <c r="A68" s="35" t="str">
        <f>'[1]1º TRIMESTRE'!A68</f>
        <v>TOMADA DE PREÇOS Licitação: 003/2023</v>
      </c>
      <c r="B68" s="35" t="str">
        <f>'[1]1º TRIMESTRE'!B68</f>
        <v>EXECUÇÃO DE OBRAS DE REQUALIFICAÇÃO DA DRENAGEM E PAVIMENTAÇÃO DAS RUAS HERCÍLIO CUNHA, MONSENHOR JÚLIO MARIA E NAPOLEÃO LEUREANO, LOCALIZADAS NO BAIRRO DA MADALENA</v>
      </c>
      <c r="C68" s="36" t="s">
        <v>35</v>
      </c>
      <c r="D68" s="37" t="s">
        <v>36</v>
      </c>
      <c r="E68" s="37">
        <v>0</v>
      </c>
      <c r="F68" s="37">
        <v>0</v>
      </c>
      <c r="G68" s="38" t="str">
        <f>'[1]1º TRIMESTRE'!G68</f>
        <v>11.864.311/0001-15</v>
      </c>
      <c r="H68" s="38" t="str">
        <f>'[1]1º TRIMESTRE'!H68</f>
        <v>SBC SOCIEDADE BRASILEIRA DE CONSTRUCOES LTDA</v>
      </c>
      <c r="I68" s="37" t="str">
        <f>'[1]1º TRIMESTRE'!I68</f>
        <v>6-050/23</v>
      </c>
      <c r="J68" s="39">
        <f>'[1]1º TRIMESTRE'!J68</f>
        <v>45146</v>
      </c>
      <c r="K68" s="40">
        <f>'[1]1º TRIMESTRE'!K68</f>
        <v>210</v>
      </c>
      <c r="L68" s="37">
        <f>'[1]1º TRIMESTRE'!L68</f>
        <v>1686657.25</v>
      </c>
      <c r="M68" s="39">
        <f t="shared" si="0"/>
        <v>45356</v>
      </c>
      <c r="N68" s="41">
        <f>'[1]1º TRIMESTRE'!N68</f>
        <v>0</v>
      </c>
      <c r="O68" s="42">
        <f>'[1]1º TRIMESTRE'!O68</f>
        <v>0</v>
      </c>
      <c r="P68" s="37">
        <f>'[1]1º TRIMESTRE'!P68</f>
        <v>0</v>
      </c>
      <c r="Q68" s="37" t="str">
        <f>'[1]1º TRIMESTRE'!Q68</f>
        <v>4.4.90.39</v>
      </c>
      <c r="R68" s="42">
        <f>'[1]1º TRIMESTRE'!R68</f>
        <v>0</v>
      </c>
      <c r="S68" s="42"/>
      <c r="T68" s="42">
        <f>'[1]1º TRIMESTRE'!T68+S68</f>
        <v>0</v>
      </c>
      <c r="U68" s="42">
        <f>'[1]1º TRIMESTRE'!U68+S68</f>
        <v>0</v>
      </c>
      <c r="V68" s="37" t="str">
        <f>'[1]1º TRIMESTRE'!V68</f>
        <v>cadastrado</v>
      </c>
    </row>
    <row r="69" spans="1:22" ht="33.75" x14ac:dyDescent="0.25">
      <c r="A69" s="35" t="str">
        <f>'[1]1º TRIMESTRE'!A69</f>
        <v>CONCORRÊNCIA Licitação: 010/2023</v>
      </c>
      <c r="B69" s="35" t="str">
        <f>'[1]1º TRIMESTRE'!B69</f>
        <v>CONTRATAÇÃO DE EMPRESA DE ENGENHARIA PARA APOIO TÉCNICO E SUPERVISÃO DA REQUALIFICAÇÃO DE VIAS NA CIDADE DO RECIFE PE</v>
      </c>
      <c r="C69" s="36" t="s">
        <v>42</v>
      </c>
      <c r="D69" s="37" t="s">
        <v>43</v>
      </c>
      <c r="E69" s="37">
        <v>0</v>
      </c>
      <c r="F69" s="37">
        <v>0</v>
      </c>
      <c r="G69" s="38" t="str">
        <f>'[1]1º TRIMESTRE'!G69</f>
        <v>28.256.567/0001-42</v>
      </c>
      <c r="H69" s="38" t="str">
        <f>'[1]1º TRIMESTRE'!H69</f>
        <v>MODERA ENGENHARIA LTDA</v>
      </c>
      <c r="I69" s="37" t="str">
        <f>'[1]1º TRIMESTRE'!I69</f>
        <v>6-051/23</v>
      </c>
      <c r="J69" s="39">
        <f>'[1]1º TRIMESTRE'!J69</f>
        <v>45208</v>
      </c>
      <c r="K69" s="40">
        <f>'[1]1º TRIMESTRE'!K69</f>
        <v>600</v>
      </c>
      <c r="L69" s="37">
        <f>'[1]1º TRIMESTRE'!L69</f>
        <v>3397945.68</v>
      </c>
      <c r="M69" s="39">
        <f t="shared" si="0"/>
        <v>45808</v>
      </c>
      <c r="N69" s="41">
        <f>'[1]1º TRIMESTRE'!N69</f>
        <v>0</v>
      </c>
      <c r="O69" s="42">
        <f>'[1]1º TRIMESTRE'!O69+392457.78</f>
        <v>392457.78</v>
      </c>
      <c r="P69" s="37">
        <f>'[1]1º TRIMESTRE'!P69</f>
        <v>0</v>
      </c>
      <c r="Q69" s="37" t="str">
        <f>'[1]1º TRIMESTRE'!Q69</f>
        <v>4.4.90.39</v>
      </c>
      <c r="R69" s="42">
        <f>'[1]1º TRIMESTRE'!R69+695490.56</f>
        <v>1507911.53</v>
      </c>
      <c r="S69" s="42">
        <v>896611.16</v>
      </c>
      <c r="T69" s="42">
        <f>'[1]1º TRIMESTRE'!T69+S69</f>
        <v>1048555.27</v>
      </c>
      <c r="U69" s="42">
        <f>'[1]1º TRIMESTRE'!U69+S69</f>
        <v>1281486.1800000002</v>
      </c>
      <c r="V69" s="37" t="str">
        <f>'[1]1º TRIMESTRE'!V69</f>
        <v>andamento</v>
      </c>
    </row>
    <row r="70" spans="1:22" ht="33.75" x14ac:dyDescent="0.25">
      <c r="A70" s="35" t="str">
        <f>'[1]1º TRIMESTRE'!A70</f>
        <v>CONCORRÊNCIA Licitação: 007/2023</v>
      </c>
      <c r="B70" s="35" t="str">
        <f>'[1]1º TRIMESTRE'!B70</f>
        <v>CONTRATAÇÃO DE EMPRESA DE ENGENHARIA PARA REALIZAÇÃO DE APOIO TÉCNICO AOS SERVIÇOS DE ILUMINAÇÃO PÚBLICA NA CIDADE DO RECIFE</v>
      </c>
      <c r="C70" s="36">
        <v>0</v>
      </c>
      <c r="D70" s="37">
        <v>0</v>
      </c>
      <c r="E70" s="37">
        <v>0</v>
      </c>
      <c r="F70" s="37">
        <v>0</v>
      </c>
      <c r="G70" s="38" t="str">
        <f>'[1]1º TRIMESTRE'!G70</f>
        <v>00.392.213/0001-06</v>
      </c>
      <c r="H70" s="38" t="str">
        <f>'[1]1º TRIMESTRE'!H70</f>
        <v>PROCESSO ENGENHARIA LTDA</v>
      </c>
      <c r="I70" s="37" t="str">
        <f>'[1]1º TRIMESTRE'!I70</f>
        <v>6-052/23</v>
      </c>
      <c r="J70" s="39">
        <f>'[1]1º TRIMESTRE'!J70</f>
        <v>45161</v>
      </c>
      <c r="K70" s="40">
        <f>'[1]1º TRIMESTRE'!K70</f>
        <v>1125</v>
      </c>
      <c r="L70" s="37">
        <f>'[1]1º TRIMESTRE'!L70</f>
        <v>10997020.199999999</v>
      </c>
      <c r="M70" s="39">
        <f t="shared" si="0"/>
        <v>46286</v>
      </c>
      <c r="N70" s="41">
        <f>'[1]1º TRIMESTRE'!N70</f>
        <v>0</v>
      </c>
      <c r="O70" s="42">
        <f>'[1]1º TRIMESTRE'!O70</f>
        <v>0</v>
      </c>
      <c r="P70" s="37">
        <f>'[1]1º TRIMESTRE'!P70</f>
        <v>0</v>
      </c>
      <c r="Q70" s="37" t="str">
        <f>'[1]1º TRIMESTRE'!Q70</f>
        <v>3.3.90.39</v>
      </c>
      <c r="R70" s="42">
        <f>'[1]1º TRIMESTRE'!R70+722751.45</f>
        <v>1627829.25</v>
      </c>
      <c r="S70" s="42">
        <v>722751.45</v>
      </c>
      <c r="T70" s="42">
        <f>'[1]1º TRIMESTRE'!T70+S70</f>
        <v>1187870.73</v>
      </c>
      <c r="U70" s="42">
        <f>'[1]1º TRIMESTRE'!U70+S70</f>
        <v>1627829.25</v>
      </c>
      <c r="V70" s="37" t="str">
        <f>'[1]1º TRIMESTRE'!V70</f>
        <v>andamento</v>
      </c>
    </row>
    <row r="71" spans="1:22" ht="56.25" x14ac:dyDescent="0.25">
      <c r="A71" s="35" t="str">
        <f>'[1]1º TRIMESTRE'!A71</f>
        <v>PREGÃO ELETRÔNICO Licitação: 026/2021</v>
      </c>
      <c r="B71" s="35" t="str">
        <f>'[1]1º TRIMESTRE'!B71</f>
        <v>CONTRATAÇÃO DE EMPRESA ESPECIALIZADA EM ENGENHARIA SANITÁRIA PARA A EXECUÇÃO DOS SERVIÇOS DE COLETA E LIMPEZA URBANA NO MUNICÍPIO DO RECIFE</v>
      </c>
      <c r="C71" s="36">
        <v>0</v>
      </c>
      <c r="D71" s="37">
        <v>0</v>
      </c>
      <c r="E71" s="37">
        <v>0</v>
      </c>
      <c r="F71" s="37">
        <v>0</v>
      </c>
      <c r="G71" s="38" t="str">
        <f>'[1]1º TRIMESTRE'!G71</f>
        <v>40.884.405/0001-54</v>
      </c>
      <c r="H71" s="38" t="str">
        <f>'[1]1º TRIMESTRE'!H71</f>
        <v>LOQUIPE LOCACAO DE EQUIPAMENTOS E MAO DE OBRA LTDA</v>
      </c>
      <c r="I71" s="37" t="str">
        <f>'[1]1º TRIMESTRE'!I71</f>
        <v>6-053/21</v>
      </c>
      <c r="J71" s="39">
        <f>'[1]1º TRIMESTRE'!J71</f>
        <v>44530</v>
      </c>
      <c r="K71" s="40">
        <f>'[1]1º TRIMESTRE'!K71</f>
        <v>1920</v>
      </c>
      <c r="L71" s="37">
        <f>'[1]1º TRIMESTRE'!L71</f>
        <v>133146086.40000001</v>
      </c>
      <c r="M71" s="39">
        <f t="shared" si="0"/>
        <v>46450</v>
      </c>
      <c r="N71" s="41">
        <f>'[1]1º TRIMESTRE'!N71</f>
        <v>0</v>
      </c>
      <c r="O71" s="42">
        <f>'[1]1º TRIMESTRE'!O71</f>
        <v>0</v>
      </c>
      <c r="P71" s="37">
        <f>'[1]1º TRIMESTRE'!P71+3209600.4</f>
        <v>50269735.199999996</v>
      </c>
      <c r="Q71" s="37" t="str">
        <f>'[1]1º TRIMESTRE'!Q71</f>
        <v>3.3.90.39</v>
      </c>
      <c r="R71" s="42">
        <f>'[1]1º TRIMESTRE'!R71+9874720.3</f>
        <v>78922325.510000005</v>
      </c>
      <c r="S71" s="42">
        <v>9465317.3900000006</v>
      </c>
      <c r="T71" s="42">
        <f>'[1]1º TRIMESTRE'!T71+S71</f>
        <v>15544422.58</v>
      </c>
      <c r="U71" s="42">
        <f>'[1]1º TRIMESTRE'!U71+S71</f>
        <v>75445647.469999999</v>
      </c>
      <c r="V71" s="37" t="str">
        <f>'[1]1º TRIMESTRE'!V71</f>
        <v>andamento</v>
      </c>
    </row>
    <row r="72" spans="1:22" ht="56.25" x14ac:dyDescent="0.25">
      <c r="A72" s="35" t="str">
        <f>'[1]1º TRIMESTRE'!A72</f>
        <v>TOMADA DE PREÇOS Licitação: 002/2023</v>
      </c>
      <c r="B72" s="35" t="str">
        <f>'[1]1º TRIMESTRE'!B72</f>
        <v>REFORMA COM AMPLIAÇÃO PARA IMPLANTAÇÃO DO SETOR DE FISCALIZAÇÃO - STF 2 E 3, LOCALIZADA NA RUA JOUBERT CARVALHO, CASA AMARELA E A DIVISÃO DE FISCALIZAÇÃO DVF 4 E 5, LOCALIZADO NO PARQUE DO CAIARA, AV. MAURÍCIO DE NASSAU Nº 68, BAIRRO IPUTINGA, RECIFE</v>
      </c>
      <c r="C72" s="36">
        <v>0</v>
      </c>
      <c r="D72" s="37">
        <v>0</v>
      </c>
      <c r="E72" s="37">
        <v>0</v>
      </c>
      <c r="F72" s="37">
        <v>0</v>
      </c>
      <c r="G72" s="38" t="str">
        <f>'[1]1º TRIMESTRE'!G72</f>
        <v>34.071.337/0001-01</v>
      </c>
      <c r="H72" s="38" t="str">
        <f>'[1]1º TRIMESTRE'!H72</f>
        <v>FONTE SOUTO CONSTRUÇÕES EIRELI</v>
      </c>
      <c r="I72" s="37" t="str">
        <f>'[1]1º TRIMESTRE'!I72</f>
        <v>6-053/23</v>
      </c>
      <c r="J72" s="39">
        <f>'[1]1º TRIMESTRE'!J72</f>
        <v>45162</v>
      </c>
      <c r="K72" s="40">
        <f>'[1]1º TRIMESTRE'!K72</f>
        <v>210</v>
      </c>
      <c r="L72" s="37">
        <f>'[1]1º TRIMESTRE'!L72</f>
        <v>1475480.26</v>
      </c>
      <c r="M72" s="39">
        <f t="shared" si="0"/>
        <v>45541</v>
      </c>
      <c r="N72" s="41">
        <f>'[1]1º TRIMESTRE'!N72</f>
        <v>169</v>
      </c>
      <c r="O72" s="42">
        <f>'[1]1º TRIMESTRE'!O72</f>
        <v>0</v>
      </c>
      <c r="P72" s="37">
        <f>'[1]1º TRIMESTRE'!P72</f>
        <v>0</v>
      </c>
      <c r="Q72" s="37" t="str">
        <f>'[1]1º TRIMESTRE'!Q72</f>
        <v>4.4.90.39</v>
      </c>
      <c r="R72" s="42">
        <f>'[1]1º TRIMESTRE'!R72</f>
        <v>189283.40999999997</v>
      </c>
      <c r="S72" s="42">
        <v>105572.33</v>
      </c>
      <c r="T72" s="42">
        <f>'[1]1º TRIMESTRE'!T72+S72</f>
        <v>162344.12</v>
      </c>
      <c r="U72" s="42">
        <f>'[1]1º TRIMESTRE'!U72+S72</f>
        <v>189283.41</v>
      </c>
      <c r="V72" s="37" t="str">
        <f>'[1]1º TRIMESTRE'!V72</f>
        <v>andamento</v>
      </c>
    </row>
    <row r="73" spans="1:22" ht="45" x14ac:dyDescent="0.25">
      <c r="A73" s="35" t="str">
        <f>'[1]1º TRIMESTRE'!A73</f>
        <v>CONCORRÊNCIA Licitação: 007/2022</v>
      </c>
      <c r="B73" s="35" t="str">
        <f>'[1]1º TRIMESTRE'!B73</f>
        <v>CONTRATAÇÃO DE EMPRESA DE ENGENHARIA ESPECIALIZADA EM ILUMINAÇÃO PÚBLICA, PARA FORNECIMENTO E INSTALAÇÃO DE LUMINÁRIAS RGB COM TECNOLOGIA LED E REDE ELÉTRICA, PARA ILUMINAÇÃO CÊNICA DO PARQUE DAS ESCULTURAS DE BRENNAND</v>
      </c>
      <c r="C73" s="36">
        <v>0</v>
      </c>
      <c r="D73" s="37">
        <v>0</v>
      </c>
      <c r="E73" s="37">
        <v>0</v>
      </c>
      <c r="F73" s="37">
        <v>0</v>
      </c>
      <c r="G73" s="38" t="str">
        <f>'[1]1º TRIMESTRE'!G73</f>
        <v>41.116.138/0001-38</v>
      </c>
      <c r="H73" s="38" t="str">
        <f>'[1]1º TRIMESTRE'!H73</f>
        <v>REAL ENERGY LTDA</v>
      </c>
      <c r="I73" s="37" t="str">
        <f>'[1]1º TRIMESTRE'!I73</f>
        <v>6-054/22</v>
      </c>
      <c r="J73" s="39">
        <f>'[1]1º TRIMESTRE'!J73</f>
        <v>44799</v>
      </c>
      <c r="K73" s="40">
        <f>'[1]1º TRIMESTRE'!K73</f>
        <v>390</v>
      </c>
      <c r="L73" s="37">
        <f>'[1]1º TRIMESTRE'!L73</f>
        <v>1839293.99</v>
      </c>
      <c r="M73" s="39">
        <f t="shared" ref="M73:M136" si="1">J73+K73+N73</f>
        <v>45442</v>
      </c>
      <c r="N73" s="41">
        <f>'[1]1º TRIMESTRE'!N73+60</f>
        <v>253</v>
      </c>
      <c r="O73" s="42">
        <f>'[1]1º TRIMESTRE'!O73</f>
        <v>-99389.02</v>
      </c>
      <c r="P73" s="37">
        <f>'[1]1º TRIMESTRE'!P73</f>
        <v>0</v>
      </c>
      <c r="Q73" s="37" t="str">
        <f>'[1]1º TRIMESTRE'!Q73</f>
        <v>4.4.90.39</v>
      </c>
      <c r="R73" s="42">
        <f>'[1]1º TRIMESTRE'!R73+54758.82</f>
        <v>1033638.29</v>
      </c>
      <c r="S73" s="42">
        <v>54758.82</v>
      </c>
      <c r="T73" s="42">
        <f>'[1]1º TRIMESTRE'!T73+S73</f>
        <v>203769.16999999998</v>
      </c>
      <c r="U73" s="42">
        <f>'[1]1º TRIMESTRE'!U73+S73</f>
        <v>1033638.2899999998</v>
      </c>
      <c r="V73" s="37" t="str">
        <f>'[1]1º TRIMESTRE'!V73</f>
        <v>andamento</v>
      </c>
    </row>
    <row r="74" spans="1:22" ht="45" x14ac:dyDescent="0.25">
      <c r="A74" s="35" t="str">
        <f>'[1]1º TRIMESTRE'!A74</f>
        <v>CONCORRÊNCIA Licitação: 011/2021</v>
      </c>
      <c r="B74" s="35" t="str">
        <f>'[1]1º TRIMESTRE'!B74</f>
        <v>CONTRATAÇÃO DE SERVIÇOS DE APOIO TÉCNICO AO MONITORAMENTO DAS AÇÕES DE MANUTENÇÃO DO SISTEMA VIÁRIO DA CIDADE DO RECIFE</v>
      </c>
      <c r="C74" s="36">
        <v>0</v>
      </c>
      <c r="D74" s="37">
        <v>0</v>
      </c>
      <c r="E74" s="37">
        <v>0</v>
      </c>
      <c r="F74" s="37">
        <v>0</v>
      </c>
      <c r="G74" s="38" t="str">
        <f>'[1]1º TRIMESTRE'!G74</f>
        <v>41.075.755/0001-32</v>
      </c>
      <c r="H74" s="38" t="str">
        <f>'[1]1º TRIMESTRE'!H74</f>
        <v>NORCONSULT PROJETOS E CONSULTORIA LTDA</v>
      </c>
      <c r="I74" s="37" t="str">
        <f>'[1]1º TRIMESTRE'!I74</f>
        <v>6-055/21</v>
      </c>
      <c r="J74" s="39">
        <f>'[1]1º TRIMESTRE'!J74</f>
        <v>44531</v>
      </c>
      <c r="K74" s="40">
        <f>'[1]1º TRIMESTRE'!K74</f>
        <v>1155</v>
      </c>
      <c r="L74" s="37">
        <f>'[1]1º TRIMESTRE'!L74</f>
        <v>6729243.9000000004</v>
      </c>
      <c r="M74" s="39">
        <f t="shared" si="1"/>
        <v>45686</v>
      </c>
      <c r="N74" s="41">
        <f>'[1]1º TRIMESTRE'!N74</f>
        <v>0</v>
      </c>
      <c r="O74" s="42">
        <f>'[1]1º TRIMESTRE'!O74</f>
        <v>804955.03</v>
      </c>
      <c r="P74" s="37">
        <f>'[1]1º TRIMESTRE'!P74+180761.28</f>
        <v>-1398548.7299999997</v>
      </c>
      <c r="Q74" s="37" t="str">
        <f>'[1]1º TRIMESTRE'!Q74</f>
        <v>3.3.90.39</v>
      </c>
      <c r="R74" s="42">
        <f>'[1]1º TRIMESTRE'!R74+497028.45</f>
        <v>3743088.39</v>
      </c>
      <c r="S74" s="42">
        <v>458462.17</v>
      </c>
      <c r="T74" s="42">
        <f>'[1]1º TRIMESTRE'!T74+S74</f>
        <v>855392.02</v>
      </c>
      <c r="U74" s="42">
        <f>'[1]1º TRIMESTRE'!U74+S74</f>
        <v>3512129.91</v>
      </c>
      <c r="V74" s="37" t="str">
        <f>'[1]1º TRIMESTRE'!V74</f>
        <v>andamento</v>
      </c>
    </row>
    <row r="75" spans="1:22" ht="33.75" x14ac:dyDescent="0.25">
      <c r="A75" s="35" t="str">
        <f>'[1]1º TRIMESTRE'!A75</f>
        <v>CONCORRÊNCIA Licitação: 014/2023</v>
      </c>
      <c r="B75" s="35" t="str">
        <f>'[1]1º TRIMESTRE'!B75</f>
        <v>SERVIÇOS DE RECUPERAÇÃO DE PASSEIOS COM IMPLANTAÇÃO DE ACESSIBILIDADE EM VÁRIAS VIAS LOCAIS DE RECIFE</v>
      </c>
      <c r="C75" s="36">
        <v>0</v>
      </c>
      <c r="D75" s="37">
        <v>0</v>
      </c>
      <c r="E75" s="37">
        <v>0</v>
      </c>
      <c r="F75" s="37">
        <v>0</v>
      </c>
      <c r="G75" s="38" t="str">
        <f>'[1]1º TRIMESTRE'!G75</f>
        <v>03.608.944/0001-34</v>
      </c>
      <c r="H75" s="38" t="str">
        <f>'[1]1º TRIMESTRE'!H75</f>
        <v>JEPAC CONSTRUCOES LTDA</v>
      </c>
      <c r="I75" s="37" t="str">
        <f>'[1]1º TRIMESTRE'!I75</f>
        <v>6-055/23</v>
      </c>
      <c r="J75" s="39">
        <f>'[1]1º TRIMESTRE'!J75</f>
        <v>45168</v>
      </c>
      <c r="K75" s="40">
        <f>'[1]1º TRIMESTRE'!K75</f>
        <v>790</v>
      </c>
      <c r="L75" s="37">
        <f>'[1]1º TRIMESTRE'!L75</f>
        <v>8074090.1799999997</v>
      </c>
      <c r="M75" s="39">
        <f t="shared" si="1"/>
        <v>45958</v>
      </c>
      <c r="N75" s="41">
        <f>'[1]1º TRIMESTRE'!N75</f>
        <v>0</v>
      </c>
      <c r="O75" s="42">
        <f>'[1]1º TRIMESTRE'!O75+1414150.3</f>
        <v>1414150.3</v>
      </c>
      <c r="P75" s="37">
        <f>'[1]1º TRIMESTRE'!P75</f>
        <v>0</v>
      </c>
      <c r="Q75" s="37" t="str">
        <f>'[1]1º TRIMESTRE'!Q75</f>
        <v>3.3.90.39</v>
      </c>
      <c r="R75" s="42">
        <f>'[1]1º TRIMESTRE'!R75+919843.92</f>
        <v>3125266.78</v>
      </c>
      <c r="S75" s="42">
        <v>1067530.49</v>
      </c>
      <c r="T75" s="42">
        <f>'[1]1º TRIMESTRE'!T75+S75</f>
        <v>1067530.49</v>
      </c>
      <c r="U75" s="42">
        <f>'[1]1º TRIMESTRE'!U75+S75</f>
        <v>2767455.31</v>
      </c>
      <c r="V75" s="37" t="str">
        <f>'[1]1º TRIMESTRE'!V75</f>
        <v>andamento</v>
      </c>
    </row>
    <row r="76" spans="1:22" ht="56.25" x14ac:dyDescent="0.25">
      <c r="A76" s="35" t="str">
        <f>'[1]1º TRIMESTRE'!A76</f>
        <v>CONCORRÊNCIA Licitação: 014/2022</v>
      </c>
      <c r="B76" s="35" t="str">
        <f>'[1]1º TRIMESTRE'!B76</f>
        <v>SERVIÇOS DE MANUTENÇÃO DO SISTEMA DA MICRODRENAGEM DE ÁGUAS PLUVIAIS DAS RPA'S 4, 5 E 6 DA CIDADE DO RECIFE. LOTE I</v>
      </c>
      <c r="C76" s="36">
        <v>0</v>
      </c>
      <c r="D76" s="37">
        <v>0</v>
      </c>
      <c r="E76" s="37">
        <v>0</v>
      </c>
      <c r="F76" s="37">
        <v>0</v>
      </c>
      <c r="G76" s="38" t="str">
        <f>'[1]1º TRIMESTRE'!G76</f>
        <v>40.884.405/0001-54</v>
      </c>
      <c r="H76" s="38" t="str">
        <f>'[1]1º TRIMESTRE'!H76</f>
        <v>LOQUIPE LOCACAO DE EQUIPAMENTOS E MAO DE OBRA LTDA</v>
      </c>
      <c r="I76" s="37" t="str">
        <f>'[1]1º TRIMESTRE'!I76</f>
        <v>6-056/22</v>
      </c>
      <c r="J76" s="39">
        <f>'[1]1º TRIMESTRE'!J76</f>
        <v>44802</v>
      </c>
      <c r="K76" s="40">
        <f>'[1]1º TRIMESTRE'!K76</f>
        <v>1155</v>
      </c>
      <c r="L76" s="37">
        <f>'[1]1º TRIMESTRE'!L76</f>
        <v>34378587.229999997</v>
      </c>
      <c r="M76" s="39">
        <f t="shared" si="1"/>
        <v>45957</v>
      </c>
      <c r="N76" s="41">
        <f>'[1]1º TRIMESTRE'!N76</f>
        <v>0</v>
      </c>
      <c r="O76" s="42">
        <f>'[1]1º TRIMESTRE'!O76</f>
        <v>7280128.7200000007</v>
      </c>
      <c r="P76" s="37">
        <f>'[1]1º TRIMESTRE'!P76</f>
        <v>0</v>
      </c>
      <c r="Q76" s="37" t="str">
        <f>'[1]1º TRIMESTRE'!Q76</f>
        <v>3.3.90.39</v>
      </c>
      <c r="R76" s="42">
        <f>'[1]1º TRIMESTRE'!R76+3205975.69</f>
        <v>20159763.010000002</v>
      </c>
      <c r="S76" s="42">
        <v>3470641.87</v>
      </c>
      <c r="T76" s="42">
        <f>'[1]1º TRIMESTRE'!T76+S76</f>
        <v>5227537.33</v>
      </c>
      <c r="U76" s="42">
        <f>'[1]1º TRIMESTRE'!U76+S76</f>
        <v>19790312.02</v>
      </c>
      <c r="V76" s="37" t="str">
        <f>'[1]1º TRIMESTRE'!V76</f>
        <v>andamento</v>
      </c>
    </row>
    <row r="77" spans="1:22" ht="33.75" x14ac:dyDescent="0.25">
      <c r="A77" s="35" t="str">
        <f>'[1]1º TRIMESTRE'!A77</f>
        <v>PREGÃO ELETRÔNICO Licitação: 007/2023</v>
      </c>
      <c r="B77" s="35" t="str">
        <f>'[1]1º TRIMESTRE'!B77</f>
        <v xml:space="preserve"> FORNECIMENTO E INSTALAÇÃO DE ALAMBRADOS E PISO FULGET, VISANDO ATENDER AS DEMANDAS DE PRAÇAS, PARQUES E ÁREAS VERDES NA CIDADE DO RECIFE - 15.006709/2023-54</v>
      </c>
      <c r="C77" s="36" t="s">
        <v>42</v>
      </c>
      <c r="D77" s="37" t="s">
        <v>43</v>
      </c>
      <c r="E77" s="37">
        <v>0</v>
      </c>
      <c r="F77" s="37">
        <v>0</v>
      </c>
      <c r="G77" s="38" t="str">
        <f>'[1]1º TRIMESTRE'!G77</f>
        <v>08.135.535/0001-81</v>
      </c>
      <c r="H77" s="38" t="str">
        <f>'[1]1º TRIMESTRE'!H77</f>
        <v>CONSTRUTORA FJ LTDA</v>
      </c>
      <c r="I77" s="37" t="str">
        <f>'[1]1º TRIMESTRE'!I77</f>
        <v>6-056/23</v>
      </c>
      <c r="J77" s="39">
        <f>'[1]1º TRIMESTRE'!J77</f>
        <v>45175</v>
      </c>
      <c r="K77" s="40">
        <f>'[1]1º TRIMESTRE'!K77</f>
        <v>210</v>
      </c>
      <c r="L77" s="37">
        <f>'[1]1º TRIMESTRE'!L77</f>
        <v>724054.28</v>
      </c>
      <c r="M77" s="39">
        <f t="shared" si="1"/>
        <v>45385</v>
      </c>
      <c r="N77" s="41">
        <f>'[1]1º TRIMESTRE'!N77</f>
        <v>0</v>
      </c>
      <c r="O77" s="42">
        <f>'[1]1º TRIMESTRE'!O77</f>
        <v>219997.48</v>
      </c>
      <c r="P77" s="37">
        <f>'[1]1º TRIMESTRE'!P77</f>
        <v>0</v>
      </c>
      <c r="Q77" s="37" t="str">
        <f>'[1]1º TRIMESTRE'!Q77</f>
        <v>4.4.90.39</v>
      </c>
      <c r="R77" s="42">
        <f>'[1]1º TRIMESTRE'!R77</f>
        <v>723897.41</v>
      </c>
      <c r="S77" s="42">
        <v>0</v>
      </c>
      <c r="T77" s="42">
        <f>'[1]1º TRIMESTRE'!T77+S77</f>
        <v>0</v>
      </c>
      <c r="U77" s="42">
        <f>'[1]1º TRIMESTRE'!U77+S77</f>
        <v>723897.41</v>
      </c>
      <c r="V77" s="37" t="str">
        <f>'[1]1º TRIMESTRE'!V77</f>
        <v>andamento</v>
      </c>
    </row>
    <row r="78" spans="1:22" ht="45" x14ac:dyDescent="0.25">
      <c r="A78" s="35" t="str">
        <f>'[1]1º TRIMESTRE'!A78</f>
        <v>Pregão Eletrônico Licitação: 032/2021</v>
      </c>
      <c r="B78" s="35" t="str">
        <f>'[1]1º TRIMESTRE'!B78</f>
        <v>CONTRATAÇÃO DE EMPRESA ESPECIALIZADA NA PRESTAÇÃO DE SERVIÇOS CONTÍNUOS DE PAISAGISMO E CONSERVAÇÃO PREVENTIVA E CORRETIVA DE PARQUES, PRAÇAS, JARDINS E ÁREAS VERDES PÚBLICOS NA CIDADE DO RECIFE - LOTE 02</v>
      </c>
      <c r="C78" s="36">
        <v>0</v>
      </c>
      <c r="D78" s="37">
        <v>0</v>
      </c>
      <c r="E78" s="37">
        <v>0</v>
      </c>
      <c r="F78" s="37">
        <v>0</v>
      </c>
      <c r="G78" s="38" t="str">
        <f>'[1]1º TRIMESTRE'!G78</f>
        <v>08.963.533/0001-80</v>
      </c>
      <c r="H78" s="38" t="str">
        <f>'[1]1º TRIMESTRE'!H78</f>
        <v>FAR COMERCIO E SERVIÇOS PAISAGISTICOS LTDA</v>
      </c>
      <c r="I78" s="37" t="str">
        <f>'[1]1º TRIMESTRE'!I78</f>
        <v>6-057/21</v>
      </c>
      <c r="J78" s="39">
        <f>'[1]1º TRIMESTRE'!J78</f>
        <v>44532</v>
      </c>
      <c r="K78" s="40">
        <f>'[1]1º TRIMESTRE'!K78</f>
        <v>760</v>
      </c>
      <c r="L78" s="37">
        <f>'[1]1º TRIMESTRE'!L78</f>
        <v>3380477.52</v>
      </c>
      <c r="M78" s="39">
        <f t="shared" si="1"/>
        <v>45292</v>
      </c>
      <c r="N78" s="41">
        <f>'[1]1º TRIMESTRE'!N78</f>
        <v>0</v>
      </c>
      <c r="O78" s="42">
        <f>'[1]1º TRIMESTRE'!O78</f>
        <v>255909.3</v>
      </c>
      <c r="P78" s="37">
        <f>'[1]1º TRIMESTRE'!P78</f>
        <v>493400.13</v>
      </c>
      <c r="Q78" s="37" t="str">
        <f>'[1]1º TRIMESTRE'!Q78</f>
        <v>3.3.90.39</v>
      </c>
      <c r="R78" s="42">
        <f>'[1]1º TRIMESTRE'!R78</f>
        <v>4003157.15</v>
      </c>
      <c r="S78" s="42">
        <v>0</v>
      </c>
      <c r="T78" s="42">
        <f>'[1]1º TRIMESTRE'!T78+S78</f>
        <v>0</v>
      </c>
      <c r="U78" s="42">
        <f>'[1]1º TRIMESTRE'!U78+S78</f>
        <v>4003157.15</v>
      </c>
      <c r="V78" s="37" t="str">
        <f>'[1]1º TRIMESTRE'!V78</f>
        <v>encerrado</v>
      </c>
    </row>
    <row r="79" spans="1:22" ht="33.75" x14ac:dyDescent="0.25">
      <c r="A79" s="35" t="str">
        <f>'[1]1º TRIMESTRE'!A79</f>
        <v>CONCORRÊNCIA Licitação: 014/2022</v>
      </c>
      <c r="B79" s="35" t="str">
        <f>'[1]1º TRIMESTRE'!B79</f>
        <v>SERVIÇOS DE MANUTENÇÃO DO SISTEMA DA MICRODRENAGEM DE ÁGUAS PLUVIAIS DAS RPA'S 4, 5 E 6 DA CIDADE DO RECIFE. LOTE II</v>
      </c>
      <c r="C79" s="36">
        <v>0</v>
      </c>
      <c r="D79" s="37">
        <v>0</v>
      </c>
      <c r="E79" s="37">
        <v>0</v>
      </c>
      <c r="F79" s="37">
        <v>0</v>
      </c>
      <c r="G79" s="38" t="str">
        <f>'[1]1º TRIMESTRE'!G79</f>
        <v>10.811.370/0001-62</v>
      </c>
      <c r="H79" s="38" t="str">
        <f>'[1]1º TRIMESTRE'!H79</f>
        <v>GUERRA CONSTRUCOES LTDA</v>
      </c>
      <c r="I79" s="37" t="str">
        <f>'[1]1º TRIMESTRE'!I79</f>
        <v>6-057/22</v>
      </c>
      <c r="J79" s="39">
        <f>'[1]1º TRIMESTRE'!J79</f>
        <v>44802</v>
      </c>
      <c r="K79" s="40">
        <f>'[1]1º TRIMESTRE'!K79</f>
        <v>1155</v>
      </c>
      <c r="L79" s="37">
        <f>'[1]1º TRIMESTRE'!L79</f>
        <v>35796096.350000001</v>
      </c>
      <c r="M79" s="39">
        <f t="shared" si="1"/>
        <v>45957</v>
      </c>
      <c r="N79" s="41">
        <f>'[1]1º TRIMESTRE'!N79</f>
        <v>0</v>
      </c>
      <c r="O79" s="42">
        <f>'[1]1º TRIMESTRE'!O79+5215301.46</f>
        <v>8073532.0099999998</v>
      </c>
      <c r="P79" s="37">
        <f>'[1]1º TRIMESTRE'!P79</f>
        <v>1137362.01</v>
      </c>
      <c r="Q79" s="37" t="str">
        <f>'[1]1º TRIMESTRE'!Q79</f>
        <v>3.3.90.39</v>
      </c>
      <c r="R79" s="42">
        <f>'[1]1º TRIMESTRE'!R79+2802847.76</f>
        <v>19841598.460000001</v>
      </c>
      <c r="S79" s="42">
        <v>3111279.39</v>
      </c>
      <c r="T79" s="42">
        <f>'[1]1º TRIMESTRE'!T79+S79</f>
        <v>5472085.4299999997</v>
      </c>
      <c r="U79" s="42">
        <f>'[1]1º TRIMESTRE'!U79+S79</f>
        <v>19145856.379999999</v>
      </c>
      <c r="V79" s="37" t="str">
        <f>'[1]1º TRIMESTRE'!V79</f>
        <v>andamento</v>
      </c>
    </row>
    <row r="80" spans="1:22" ht="33.75" x14ac:dyDescent="0.25">
      <c r="A80" s="35" t="str">
        <f>'[1]1º TRIMESTRE'!A80</f>
        <v>CONCORRÊNCIA Licitação: 027/2022</v>
      </c>
      <c r="B80" s="35" t="str">
        <f>'[1]1º TRIMESTRE'!B80</f>
        <v>FORNECIMENTO E INSTALAÇÃO DE LUMINÁRIAS COM TECNOLOGIA LED E REDE ELÉTRICA PARA ILUMINAÇÃO PEDONAL DO POLÍGONO VIÁRIO DA ZONA NORTE DO MUNICÍPIO DO RECIFE PE</v>
      </c>
      <c r="C80" s="36">
        <v>0</v>
      </c>
      <c r="D80" s="37">
        <v>0</v>
      </c>
      <c r="E80" s="37">
        <v>0</v>
      </c>
      <c r="F80" s="37">
        <v>0</v>
      </c>
      <c r="G80" s="38" t="str">
        <f>'[1]1º TRIMESTRE'!G80</f>
        <v>03.834.750/0001-57</v>
      </c>
      <c r="H80" s="38" t="str">
        <f>'[1]1º TRIMESTRE'!H80</f>
        <v>EIP SERVICOS DE ILUMINACAO LTDA</v>
      </c>
      <c r="I80" s="37" t="str">
        <f>'[1]1º TRIMESTRE'!I80</f>
        <v>6-057/23</v>
      </c>
      <c r="J80" s="39">
        <f>'[1]1º TRIMESTRE'!J80</f>
        <v>0</v>
      </c>
      <c r="K80" s="40">
        <f>'[1]1º TRIMESTRE'!K80</f>
        <v>760</v>
      </c>
      <c r="L80" s="37">
        <f>'[1]1º TRIMESTRE'!L80</f>
        <v>31856865.379999999</v>
      </c>
      <c r="M80" s="39">
        <f t="shared" si="1"/>
        <v>760</v>
      </c>
      <c r="N80" s="41">
        <f>'[1]1º TRIMESTRE'!N80</f>
        <v>0</v>
      </c>
      <c r="O80" s="42">
        <f>'[1]1º TRIMESTRE'!O80</f>
        <v>0</v>
      </c>
      <c r="P80" s="37">
        <f>'[1]1º TRIMESTRE'!P80</f>
        <v>0</v>
      </c>
      <c r="Q80" s="37" t="str">
        <f>'[1]1º TRIMESTRE'!Q80</f>
        <v>4.4.90.39</v>
      </c>
      <c r="R80" s="42">
        <f>'[1]1º TRIMESTRE'!R80</f>
        <v>0</v>
      </c>
      <c r="S80" s="42">
        <v>0</v>
      </c>
      <c r="T80" s="42">
        <f>'[1]1º TRIMESTRE'!T80+S80</f>
        <v>0</v>
      </c>
      <c r="U80" s="42">
        <f>'[1]1º TRIMESTRE'!U80+S80</f>
        <v>0</v>
      </c>
      <c r="V80" s="37" t="str">
        <f>'[1]1º TRIMESTRE'!V80</f>
        <v>Cancelado</v>
      </c>
    </row>
    <row r="81" spans="1:22" ht="45" x14ac:dyDescent="0.25">
      <c r="A81" s="35" t="str">
        <f>'[1]1º TRIMESTRE'!A81</f>
        <v>CONCORRÊNCIA Licitação: 015/2021</v>
      </c>
      <c r="B81" s="35" t="str">
        <f>'[1]1º TRIMESTRE'!B81</f>
        <v>MONITORAMENTO DAS AÇÕES DE LIMPEZA URBANA E ATIVIDADES DE LOGÍSTICA DO TRANSPORTE DE RESÍDUOS DA CONSTRUÇÃO CIVIL DA CIDADE DO RECIFE, MEDIANTE SUPORTE A IMPLANTAÇÃO E OPERAÇÃO DE UMA CENTRAL DE CONTROLE OPERACIONAL</v>
      </c>
      <c r="C81" s="36">
        <v>0</v>
      </c>
      <c r="D81" s="37">
        <v>0</v>
      </c>
      <c r="E81" s="37">
        <v>0</v>
      </c>
      <c r="F81" s="37">
        <v>0</v>
      </c>
      <c r="G81" s="38" t="str">
        <f>'[1]1º TRIMESTRE'!G81</f>
        <v>12.285.441/0001-66</v>
      </c>
      <c r="H81" s="38" t="str">
        <f>'[1]1º TRIMESTRE'!H81</f>
        <v>TPF ENGENHARIA LTDA</v>
      </c>
      <c r="I81" s="37" t="str">
        <f>'[1]1º TRIMESTRE'!I81</f>
        <v>6-058/21</v>
      </c>
      <c r="J81" s="39">
        <f>'[1]1º TRIMESTRE'!J81</f>
        <v>44531</v>
      </c>
      <c r="K81" s="40">
        <f>'[1]1º TRIMESTRE'!K81</f>
        <v>1890</v>
      </c>
      <c r="L81" s="37">
        <f>'[1]1º TRIMESTRE'!L81</f>
        <v>39551349</v>
      </c>
      <c r="M81" s="39">
        <f t="shared" si="1"/>
        <v>46421</v>
      </c>
      <c r="N81" s="41">
        <f>'[1]1º TRIMESTRE'!N81</f>
        <v>0</v>
      </c>
      <c r="O81" s="42">
        <f>'[1]1º TRIMESTRE'!O81</f>
        <v>3269757.48</v>
      </c>
      <c r="P81" s="37">
        <f>'[1]1º TRIMESTRE'!P81</f>
        <v>4804576.8000000007</v>
      </c>
      <c r="Q81" s="37" t="str">
        <f>'[1]1º TRIMESTRE'!Q81</f>
        <v>3.3.90.39</v>
      </c>
      <c r="R81" s="42">
        <f>'[1]1º TRIMESTRE'!R81+2515046.97</f>
        <v>20287260.140000001</v>
      </c>
      <c r="S81" s="42">
        <v>2415963.41</v>
      </c>
      <c r="T81" s="42">
        <f>'[1]1º TRIMESTRE'!T81+S81</f>
        <v>4548754.66</v>
      </c>
      <c r="U81" s="42">
        <f>'[1]1º TRIMESTRE'!U81+S81</f>
        <v>19448911.150000002</v>
      </c>
      <c r="V81" s="37" t="str">
        <f>'[1]1º TRIMESTRE'!V81</f>
        <v>andamento</v>
      </c>
    </row>
    <row r="82" spans="1:22" ht="56.25" x14ac:dyDescent="0.25">
      <c r="A82" s="35" t="str">
        <f>'[1]1º TRIMESTRE'!A82</f>
        <v>CONCORRÊNCIA Licitação: 013/2022</v>
      </c>
      <c r="B82" s="35" t="str">
        <f>'[1]1º TRIMESTRE'!B82</f>
        <v>REQUALIFICAÇÃO DE DRENAGEM E PAVIMENTAÇÃO DAS RUAS CASTRO ALVES, ENGENHEIRO LUIZ VAUTHIER, RUA DA CORAGEM, RUA PROFESSOR MIRANDA CURIÓ E RUA DONA JULIETA, LOCALIZADAS NO BAIRRO DA ENCRUZILHADA</v>
      </c>
      <c r="C82" s="36" t="s">
        <v>35</v>
      </c>
      <c r="D82" s="37" t="s">
        <v>36</v>
      </c>
      <c r="E82" s="37">
        <v>0</v>
      </c>
      <c r="F82" s="37">
        <v>0</v>
      </c>
      <c r="G82" s="38" t="str">
        <f>'[1]1º TRIMESTRE'!G82</f>
        <v>11.481.173/0001-95</v>
      </c>
      <c r="H82" s="38" t="str">
        <f>'[1]1º TRIMESTRE'!H82</f>
        <v>ETNA ENGENHARIA E TERRAPLANAGEM NACIONAL LTDA</v>
      </c>
      <c r="I82" s="37" t="str">
        <f>'[1]1º TRIMESTRE'!I82</f>
        <v>6-058/22</v>
      </c>
      <c r="J82" s="39">
        <f>'[1]1º TRIMESTRE'!J82</f>
        <v>44812</v>
      </c>
      <c r="K82" s="40">
        <f>'[1]1º TRIMESTRE'!K82</f>
        <v>270</v>
      </c>
      <c r="L82" s="37">
        <f>'[1]1º TRIMESTRE'!L82</f>
        <v>3825898.74</v>
      </c>
      <c r="M82" s="39">
        <f t="shared" si="1"/>
        <v>45492</v>
      </c>
      <c r="N82" s="41">
        <f>'[1]1º TRIMESTRE'!N82</f>
        <v>410</v>
      </c>
      <c r="O82" s="42">
        <f>'[1]1º TRIMESTRE'!O82</f>
        <v>794456.99</v>
      </c>
      <c r="P82" s="37">
        <f>'[1]1º TRIMESTRE'!P82</f>
        <v>0</v>
      </c>
      <c r="Q82" s="37" t="str">
        <f>'[1]1º TRIMESTRE'!Q82</f>
        <v>4.4.90.39</v>
      </c>
      <c r="R82" s="42">
        <f>'[1]1º TRIMESTRE'!R82+906250.76</f>
        <v>3540593.1100000003</v>
      </c>
      <c r="S82" s="42">
        <v>829214.78</v>
      </c>
      <c r="T82" s="42">
        <f>'[1]1º TRIMESTRE'!T82+S82</f>
        <v>1456812.76</v>
      </c>
      <c r="U82" s="42">
        <f>'[1]1º TRIMESTRE'!U82+S82</f>
        <v>3463557.13</v>
      </c>
      <c r="V82" s="37" t="str">
        <f>'[1]1º TRIMESTRE'!V82</f>
        <v>andamento</v>
      </c>
    </row>
    <row r="83" spans="1:22" ht="33.75" x14ac:dyDescent="0.25">
      <c r="A83" s="35" t="str">
        <f>'[1]1º TRIMESTRE'!A83</f>
        <v>CONCORRÊNCIA Licitação: 011/2023</v>
      </c>
      <c r="B83" s="35" t="str">
        <f>'[1]1º TRIMESTRE'!B83</f>
        <v>EXECUÇÃO DA MANUTENÇÃO PREVENTIVA E CORRETIVA DO SISTEMA DE ILUMINAÇÃO CÊNICA DA CIDADE DO RECIFE</v>
      </c>
      <c r="C83" s="36">
        <v>0</v>
      </c>
      <c r="D83" s="37">
        <v>0</v>
      </c>
      <c r="E83" s="37">
        <v>0</v>
      </c>
      <c r="F83" s="37">
        <v>0</v>
      </c>
      <c r="G83" s="38" t="str">
        <f>'[1]1º TRIMESTRE'!G83</f>
        <v>03.834.750/0001-57</v>
      </c>
      <c r="H83" s="38" t="str">
        <f>'[1]1º TRIMESTRE'!H83</f>
        <v>EIP SERVICOS DE ILUMINACAO LTDA</v>
      </c>
      <c r="I83" s="37" t="str">
        <f>'[1]1º TRIMESTRE'!I83</f>
        <v>6-058/23</v>
      </c>
      <c r="J83" s="39">
        <f>'[1]1º TRIMESTRE'!J83</f>
        <v>45195</v>
      </c>
      <c r="K83" s="40">
        <f>'[1]1º TRIMESTRE'!K83</f>
        <v>1125</v>
      </c>
      <c r="L83" s="37">
        <f>'[1]1º TRIMESTRE'!L83</f>
        <v>14363565.119999999</v>
      </c>
      <c r="M83" s="39">
        <f t="shared" si="1"/>
        <v>46320</v>
      </c>
      <c r="N83" s="41">
        <f>'[1]1º TRIMESTRE'!N83</f>
        <v>0</v>
      </c>
      <c r="O83" s="42">
        <f>'[1]1º TRIMESTRE'!O83</f>
        <v>0</v>
      </c>
      <c r="P83" s="37">
        <f>'[1]1º TRIMESTRE'!P83</f>
        <v>0</v>
      </c>
      <c r="Q83" s="37" t="str">
        <f>'[1]1º TRIMESTRE'!Q83</f>
        <v>3.3.90.39</v>
      </c>
      <c r="R83" s="42">
        <f>'[1]1º TRIMESTRE'!R83+208238.32</f>
        <v>301857.48</v>
      </c>
      <c r="S83" s="42">
        <v>208238.32</v>
      </c>
      <c r="T83" s="42">
        <f>'[1]1º TRIMESTRE'!T83+S83</f>
        <v>301857.48</v>
      </c>
      <c r="U83" s="42">
        <f>'[1]1º TRIMESTRE'!U83+S83</f>
        <v>301857.48</v>
      </c>
      <c r="V83" s="37" t="str">
        <f>'[1]1º TRIMESTRE'!V83</f>
        <v>andamento</v>
      </c>
    </row>
    <row r="84" spans="1:22" ht="56.25" x14ac:dyDescent="0.25">
      <c r="A84" s="35" t="str">
        <f>'[1]1º TRIMESTRE'!A84</f>
        <v>CONCORRÊNCIA Licitação: 012/2022</v>
      </c>
      <c r="B84" s="35" t="str">
        <f>'[1]1º TRIMESTRE'!B84</f>
        <v>REQUALIFICAÇÃO DA DRENAGEM E PAVIMENTAÇÃO DA RUA IMPERIAL E DA DRENAGEM DA AV. SUL, TRECHO COMPREENDIDO ENTRE A TRAVESSA DO GASPAR E AV. DANTAS BARRETO, BAIRRO DE SÃO JOSÉ</v>
      </c>
      <c r="C84" s="36" t="s">
        <v>35</v>
      </c>
      <c r="D84" s="37" t="s">
        <v>36</v>
      </c>
      <c r="E84" s="37">
        <v>0</v>
      </c>
      <c r="F84" s="37">
        <v>0</v>
      </c>
      <c r="G84" s="38" t="str">
        <f>'[1]1º TRIMESTRE'!G84</f>
        <v>11.481.173/0001-95</v>
      </c>
      <c r="H84" s="38" t="str">
        <f>'[1]1º TRIMESTRE'!H84</f>
        <v>ETNA ENGENHARIA E TERRAPLANAGEM NACIONAL LTDA</v>
      </c>
      <c r="I84" s="37" t="str">
        <f>'[1]1º TRIMESTRE'!I84</f>
        <v>6-059/22</v>
      </c>
      <c r="J84" s="39">
        <f>'[1]1º TRIMESTRE'!J84</f>
        <v>44803</v>
      </c>
      <c r="K84" s="40">
        <f>'[1]1º TRIMESTRE'!K84</f>
        <v>270</v>
      </c>
      <c r="L84" s="37">
        <f>'[1]1º TRIMESTRE'!L84</f>
        <v>8106707.0800000001</v>
      </c>
      <c r="M84" s="39">
        <f t="shared" si="1"/>
        <v>45653</v>
      </c>
      <c r="N84" s="41">
        <f>+'[1]1º TRIMESTRE'!N84+120</f>
        <v>580</v>
      </c>
      <c r="O84" s="42">
        <f>'[1]1º TRIMESTRE'!O84</f>
        <v>1255236.83</v>
      </c>
      <c r="P84" s="37">
        <f>'[1]1º TRIMESTRE'!P84</f>
        <v>0</v>
      </c>
      <c r="Q84" s="37" t="str">
        <f>'[1]1º TRIMESTRE'!Q84</f>
        <v>4.4.90.39</v>
      </c>
      <c r="R84" s="42">
        <f>'[1]1º TRIMESTRE'!R84+657261.76</f>
        <v>4197294.6399999997</v>
      </c>
      <c r="S84" s="42">
        <v>538165.36</v>
      </c>
      <c r="T84" s="42">
        <f>'[1]1º TRIMESTRE'!T84+S84</f>
        <v>1094952.6099999999</v>
      </c>
      <c r="U84" s="42">
        <f>'[1]1º TRIMESTRE'!U84+S84</f>
        <v>4078198.2399999998</v>
      </c>
      <c r="V84" s="37" t="str">
        <f>'[1]1º TRIMESTRE'!V84</f>
        <v>andamento</v>
      </c>
    </row>
    <row r="85" spans="1:22" ht="45" x14ac:dyDescent="0.25">
      <c r="A85" s="35" t="str">
        <f>'[1]1º TRIMESTRE'!A85</f>
        <v>CREDENCIAMENTO Licitação: 001/2023</v>
      </c>
      <c r="B85" s="35" t="str">
        <f>'[1]1º TRIMESTRE'!B85</f>
        <v xml:space="preserve"> RECOLHIMENTO, TRANSPORTE, TRATAMENTO E DISPOSIÇÃO FINAL AMBIENTALMENTE CORRETA DE RESÍDUOS LÍQUIDOS (LIXIVIADO) ORIUNDOS DO ATERRO DESATIVADO DA MURIBECA SOB A RESPONSABILIDADE DA EMLURB. (CREDENCIAMENTO 001/23)</v>
      </c>
      <c r="C85" s="36">
        <v>0</v>
      </c>
      <c r="D85" s="37">
        <v>0</v>
      </c>
      <c r="E85" s="37">
        <v>0</v>
      </c>
      <c r="F85" s="37">
        <v>0</v>
      </c>
      <c r="G85" s="38" t="str">
        <f>'[1]1º TRIMESTRE'!G85</f>
        <v>03.279.285/0027-79</v>
      </c>
      <c r="H85" s="38" t="str">
        <f>'[1]1º TRIMESTRE'!H85</f>
        <v>ORIZON MEIO AMBIENTE S.A.</v>
      </c>
      <c r="I85" s="37" t="str">
        <f>'[1]1º TRIMESTRE'!I85</f>
        <v>6-059/23</v>
      </c>
      <c r="J85" s="39">
        <f>'[1]1º TRIMESTRE'!J85</f>
        <v>45181</v>
      </c>
      <c r="K85" s="40">
        <f>'[1]1º TRIMESTRE'!K85</f>
        <v>365</v>
      </c>
      <c r="L85" s="37">
        <f>'[1]1º TRIMESTRE'!L85</f>
        <v>3408645</v>
      </c>
      <c r="M85" s="39">
        <f t="shared" si="1"/>
        <v>45546</v>
      </c>
      <c r="N85" s="41">
        <f>'[1]1º TRIMESTRE'!N85</f>
        <v>0</v>
      </c>
      <c r="O85" s="42">
        <f>'[1]1º TRIMESTRE'!O85</f>
        <v>0</v>
      </c>
      <c r="P85" s="37">
        <f>'[1]1º TRIMESTRE'!P85</f>
        <v>0</v>
      </c>
      <c r="Q85" s="37" t="str">
        <f>'[1]1º TRIMESTRE'!Q85</f>
        <v>3.3.90.39</v>
      </c>
      <c r="R85" s="42">
        <f>'[1]1º TRIMESTRE'!R85+568429.26</f>
        <v>1590298.79</v>
      </c>
      <c r="S85" s="42">
        <v>664293.63</v>
      </c>
      <c r="T85" s="42">
        <f>'[1]1º TRIMESTRE'!T85+S85</f>
        <v>897921.55</v>
      </c>
      <c r="U85" s="42">
        <f>'[1]1º TRIMESTRE'!U85+S85</f>
        <v>1590298.79</v>
      </c>
      <c r="V85" s="37" t="str">
        <f>'[1]1º TRIMESTRE'!V85</f>
        <v>andamento</v>
      </c>
    </row>
    <row r="86" spans="1:22" ht="56.25" x14ac:dyDescent="0.25">
      <c r="A86" s="35" t="str">
        <f>'[1]1º TRIMESTRE'!A86</f>
        <v>TOMADA DE PREÇOS Licitação: 007/2021</v>
      </c>
      <c r="B86" s="35" t="str">
        <f>'[1]1º TRIMESTRE'!B86</f>
        <v>CONTRATAÇÃO DE EMPRESA ESPECIALIZADA NO RAMO DE ENGENHARIA PARA EXECUÇÃO DOS SERVIÇOS DE IMPLANTAÇÃO DE PAVIMENTAÇÃO, DRENAGEM, ACESSIBILIDADE E SINALIZAÇÃO DAS RUAS BENJAMIN FONSECA - LOTE 1.  JOSÉ MOLITERNO - LOTE 2, SITUADAS NA CIDADE DO RECIFE</v>
      </c>
      <c r="C86" s="36" t="s">
        <v>44</v>
      </c>
      <c r="D86" s="37" t="s">
        <v>41</v>
      </c>
      <c r="E86" s="37">
        <v>355737</v>
      </c>
      <c r="F86" s="37">
        <v>2000</v>
      </c>
      <c r="G86" s="38" t="str">
        <f>'[1]1º TRIMESTRE'!G86</f>
        <v>05.625.079/0001-60</v>
      </c>
      <c r="H86" s="38" t="str">
        <f>'[1]1º TRIMESTRE'!H86</f>
        <v xml:space="preserve">CONSTRUTORA MARDIFI LTDA - EPP </v>
      </c>
      <c r="I86" s="37" t="str">
        <f>'[1]1º TRIMESTRE'!I86</f>
        <v>6-060/21</v>
      </c>
      <c r="J86" s="39">
        <f>'[1]1º TRIMESTRE'!J86</f>
        <v>44603</v>
      </c>
      <c r="K86" s="40">
        <f>'[1]1º TRIMESTRE'!K86</f>
        <v>150</v>
      </c>
      <c r="L86" s="37">
        <f>'[1]1º TRIMESTRE'!L86</f>
        <v>193107.81</v>
      </c>
      <c r="M86" s="39">
        <f t="shared" si="1"/>
        <v>45323</v>
      </c>
      <c r="N86" s="41">
        <f>'[1]1º TRIMESTRE'!N86</f>
        <v>570</v>
      </c>
      <c r="O86" s="42">
        <f>'[1]1º TRIMESTRE'!O86</f>
        <v>0</v>
      </c>
      <c r="P86" s="37">
        <f>'[1]1º TRIMESTRE'!P86</f>
        <v>0</v>
      </c>
      <c r="Q86" s="37" t="str">
        <f>'[1]1º TRIMESTRE'!Q86</f>
        <v>4.4.90.39</v>
      </c>
      <c r="R86" s="42">
        <f>'[1]1º TRIMESTRE'!R86</f>
        <v>189707.78</v>
      </c>
      <c r="S86" s="42">
        <v>0</v>
      </c>
      <c r="T86" s="42">
        <f>'[1]1º TRIMESTRE'!T86+S86</f>
        <v>0</v>
      </c>
      <c r="U86" s="42">
        <f>'[1]1º TRIMESTRE'!U86+S86</f>
        <v>189707.95</v>
      </c>
      <c r="V86" s="37" t="str">
        <f>'[1]1º TRIMESTRE'!V86</f>
        <v>encerrado</v>
      </c>
    </row>
    <row r="87" spans="1:22" ht="33.75" x14ac:dyDescent="0.25">
      <c r="A87" s="35" t="str">
        <f>'[1]1º TRIMESTRE'!A87</f>
        <v>CONCORRÊNCIA Licitação: 011/2022</v>
      </c>
      <c r="B87" s="35" t="str">
        <f>'[1]1º TRIMESTRE'!B87</f>
        <v>REQUALIFICAÇÃO DA DRENAGEM E PAVIMENTAÇÃO DA RUA DA CONCÓRDIA, TRECHO COMPREENDIDO ENTRE A RUA MUNIZ E RUA FREI CANECA, BAIRRO DE SÃO JOSÉ</v>
      </c>
      <c r="C87" s="36" t="s">
        <v>35</v>
      </c>
      <c r="D87" s="37" t="s">
        <v>36</v>
      </c>
      <c r="E87" s="37">
        <v>0</v>
      </c>
      <c r="F87" s="37">
        <v>0</v>
      </c>
      <c r="G87" s="38" t="str">
        <f>'[1]1º TRIMESTRE'!G87</f>
        <v>10.811.370/0001-62</v>
      </c>
      <c r="H87" s="38" t="str">
        <f>'[1]1º TRIMESTRE'!H87</f>
        <v>GUERRA CONSTRUCOES LTDA</v>
      </c>
      <c r="I87" s="37" t="str">
        <f>'[1]1º TRIMESTRE'!I87</f>
        <v>6-060/22</v>
      </c>
      <c r="J87" s="39">
        <f>'[1]1º TRIMESTRE'!J87</f>
        <v>44817</v>
      </c>
      <c r="K87" s="40">
        <f>'[1]1º TRIMESTRE'!K87</f>
        <v>240</v>
      </c>
      <c r="L87" s="37">
        <f>'[1]1º TRIMESTRE'!L87</f>
        <v>4111668.75</v>
      </c>
      <c r="M87" s="39">
        <f t="shared" si="1"/>
        <v>45399</v>
      </c>
      <c r="N87" s="41">
        <f>'[1]1º TRIMESTRE'!N87</f>
        <v>342</v>
      </c>
      <c r="O87" s="42">
        <f>'[1]1º TRIMESTRE'!O87</f>
        <v>1015406.67</v>
      </c>
      <c r="P87" s="37">
        <f>'[1]1º TRIMESTRE'!P87</f>
        <v>0</v>
      </c>
      <c r="Q87" s="37" t="str">
        <f>'[1]1º TRIMESTRE'!Q87</f>
        <v>4.4.90.39</v>
      </c>
      <c r="R87" s="42">
        <f>'[1]1º TRIMESTRE'!R87</f>
        <v>4590665.75</v>
      </c>
      <c r="S87" s="42">
        <v>0</v>
      </c>
      <c r="T87" s="42">
        <f>'[1]1º TRIMESTRE'!T87+S87</f>
        <v>0</v>
      </c>
      <c r="U87" s="42">
        <f>'[1]1º TRIMESTRE'!U87+S87</f>
        <v>4590665.75</v>
      </c>
      <c r="V87" s="37" t="s">
        <v>37</v>
      </c>
    </row>
    <row r="88" spans="1:22" ht="33.75" x14ac:dyDescent="0.25">
      <c r="A88" s="35" t="str">
        <f>'[1]1º TRIMESTRE'!A88</f>
        <v>CONCORRÊNCIA Licitação: 012/2023</v>
      </c>
      <c r="B88" s="35" t="str">
        <f>'[1]1º TRIMESTRE'!B88</f>
        <v>FORNECIMENTO E INSTALAÇÃO DE LUMINÁRIAS COM TECNOLOGIA LED E REDE ELÉTRICA, PARA ILUMINAÇÃO PEDONAL DO POLÍGONO VIÁRIO DOS POLOS EDUCACIONAIS DO MUNICÍPIO DO RECIFE PE</v>
      </c>
      <c r="C88" s="36">
        <v>0</v>
      </c>
      <c r="D88" s="37">
        <v>0</v>
      </c>
      <c r="E88" s="37">
        <v>0</v>
      </c>
      <c r="F88" s="37">
        <v>0</v>
      </c>
      <c r="G88" s="38" t="str">
        <f>'[1]1º TRIMESTRE'!G88</f>
        <v>03.834.750/0001-57</v>
      </c>
      <c r="H88" s="38" t="str">
        <f>'[1]1º TRIMESTRE'!H88</f>
        <v>EIP SERVICOS DE ILUMINACAO LTDA</v>
      </c>
      <c r="I88" s="37" t="str">
        <f>'[1]1º TRIMESTRE'!I88</f>
        <v>6-060/23</v>
      </c>
      <c r="J88" s="39">
        <f>'[1]1º TRIMESTRE'!J88</f>
        <v>45195</v>
      </c>
      <c r="K88" s="40">
        <f>'[1]1º TRIMESTRE'!K88</f>
        <v>395</v>
      </c>
      <c r="L88" s="37">
        <f>'[1]1º TRIMESTRE'!L88</f>
        <v>16758709.029999999</v>
      </c>
      <c r="M88" s="39">
        <f t="shared" si="1"/>
        <v>45590</v>
      </c>
      <c r="N88" s="41">
        <f>'[1]1º TRIMESTRE'!N88</f>
        <v>0</v>
      </c>
      <c r="O88" s="42">
        <f>'[1]1º TRIMESTRE'!O88</f>
        <v>0</v>
      </c>
      <c r="P88" s="37">
        <f>'[1]1º TRIMESTRE'!P88</f>
        <v>0</v>
      </c>
      <c r="Q88" s="37" t="str">
        <f>'[1]1º TRIMESTRE'!Q88</f>
        <v>4.4.90.39</v>
      </c>
      <c r="R88" s="42">
        <f>'[1]1º TRIMESTRE'!R88+2297321.2</f>
        <v>5595563.1000000006</v>
      </c>
      <c r="S88" s="42">
        <v>2113510.09</v>
      </c>
      <c r="T88" s="42">
        <f>'[1]1º TRIMESTRE'!T88+S88</f>
        <v>3772400.5</v>
      </c>
      <c r="U88" s="42">
        <f>'[1]1º TRIMESTRE'!U88+S88</f>
        <v>4784277.91</v>
      </c>
      <c r="V88" s="37" t="str">
        <f>'[1]1º TRIMESTRE'!V88</f>
        <v>andamento</v>
      </c>
    </row>
    <row r="89" spans="1:22" ht="56.25" x14ac:dyDescent="0.25">
      <c r="A89" s="35" t="str">
        <f>'[1]1º TRIMESTRE'!A89</f>
        <v>TOMADA DE PREÇOS Licitação: 007/2021</v>
      </c>
      <c r="B89" s="35" t="str">
        <f>'[1]1º TRIMESTRE'!B89</f>
        <v>CONTRATAÇÃO DE EMPRESA ESPECIALIZADA NO RAMO DE ENGENHARIA PARA EXECUÇÃO DOS SERVIÇOS DE IMPLANTAÇÃO DE PAVIMENTAÇÃO, DRENAGEM, ACESSIBILIDADE E SINALIZAÇÃO DAS RUAS BENJAMIN FONSECA - LOTE 1.  JOSÉ MOLITERNO - LOTE 2, SITUADAS NA CIDADE DO RECIFE</v>
      </c>
      <c r="C89" s="36" t="s">
        <v>44</v>
      </c>
      <c r="D89" s="37" t="s">
        <v>41</v>
      </c>
      <c r="E89" s="37">
        <v>355737</v>
      </c>
      <c r="F89" s="37">
        <v>2000</v>
      </c>
      <c r="G89" s="38" t="str">
        <f>'[1]1º TRIMESTRE'!G89</f>
        <v>05.625.079/0001-60</v>
      </c>
      <c r="H89" s="38" t="str">
        <f>'[1]1º TRIMESTRE'!H89</f>
        <v xml:space="preserve">CONSTRUTORA MARDIFI LTDA - EPP </v>
      </c>
      <c r="I89" s="37" t="str">
        <f>'[1]1º TRIMESTRE'!I89</f>
        <v>6-061/21</v>
      </c>
      <c r="J89" s="39">
        <f>'[1]1º TRIMESTRE'!J89</f>
        <v>44603</v>
      </c>
      <c r="K89" s="40">
        <f>'[1]1º TRIMESTRE'!K89</f>
        <v>150</v>
      </c>
      <c r="L89" s="37">
        <f>'[1]1º TRIMESTRE'!L89</f>
        <v>119800.38</v>
      </c>
      <c r="M89" s="39">
        <f t="shared" si="1"/>
        <v>45473</v>
      </c>
      <c r="N89" s="41">
        <f>'[1]1º TRIMESTRE'!N89+210</f>
        <v>720</v>
      </c>
      <c r="O89" s="42">
        <f>'[1]1º TRIMESTRE'!O89</f>
        <v>0</v>
      </c>
      <c r="P89" s="37">
        <f>'[1]1º TRIMESTRE'!P89</f>
        <v>-48.25</v>
      </c>
      <c r="Q89" s="37" t="str">
        <f>'[1]1º TRIMESTRE'!Q89</f>
        <v>4.4.90.39</v>
      </c>
      <c r="R89" s="42">
        <f>'[1]1º TRIMESTRE'!R89+119752.13</f>
        <v>119752.13</v>
      </c>
      <c r="S89" s="42">
        <v>0</v>
      </c>
      <c r="T89" s="42">
        <f>'[1]1º TRIMESTRE'!T89+S89</f>
        <v>0</v>
      </c>
      <c r="U89" s="42">
        <f>'[1]1º TRIMESTRE'!U89+S89</f>
        <v>0</v>
      </c>
      <c r="V89" s="37" t="str">
        <f>'[1]1º TRIMESTRE'!V89</f>
        <v>andamento</v>
      </c>
    </row>
    <row r="90" spans="1:22" ht="45" x14ac:dyDescent="0.25">
      <c r="A90" s="35" t="str">
        <f>'[1]1º TRIMESTRE'!A90</f>
        <v>PREGÃO ELETRÔNICO Licitação: 013/2023</v>
      </c>
      <c r="B90" s="35" t="str">
        <f>'[1]1º TRIMESTRE'!B90</f>
        <v>CONTRATAÇÃO DE EMPRESA ESPECIALIZADA PARA EXECUÇÃO DE SERVIÇOS DE IMPLANTAÇÃO, MANUTENÇÃO E CONSERVAÇÃO DE PAISAGISMO DE PARQUES, PRAÇAS E ÁREAS VERDES NA CIDADE DO RECIFE  (15.007716/2023-73)</v>
      </c>
      <c r="C90" s="36">
        <v>0</v>
      </c>
      <c r="D90" s="37">
        <v>0</v>
      </c>
      <c r="E90" s="37">
        <v>0</v>
      </c>
      <c r="F90" s="37">
        <v>0</v>
      </c>
      <c r="G90" s="38" t="str">
        <f>'[1]1º TRIMESTRE'!G90</f>
        <v>08.963.533/0001-80</v>
      </c>
      <c r="H90" s="38" t="str">
        <f>'[1]1º TRIMESTRE'!H90</f>
        <v>FAR COMERCIO E SERVIÇOS PAISAGISTICOS LTDA</v>
      </c>
      <c r="I90" s="37" t="str">
        <f>'[1]1º TRIMESTRE'!I90</f>
        <v>6-061/23</v>
      </c>
      <c r="J90" s="39">
        <f>'[1]1º TRIMESTRE'!J90</f>
        <v>45188</v>
      </c>
      <c r="K90" s="40">
        <f>'[1]1º TRIMESTRE'!K90</f>
        <v>365</v>
      </c>
      <c r="L90" s="37">
        <f>'[1]1º TRIMESTRE'!L90</f>
        <v>1751620.41</v>
      </c>
      <c r="M90" s="39">
        <f t="shared" si="1"/>
        <v>45553</v>
      </c>
      <c r="N90" s="41">
        <f>'[1]1º TRIMESTRE'!N90</f>
        <v>0</v>
      </c>
      <c r="O90" s="42">
        <f>'[1]1º TRIMESTRE'!O90</f>
        <v>432166.6</v>
      </c>
      <c r="P90" s="37">
        <f>'[1]1º TRIMESTRE'!P90</f>
        <v>0</v>
      </c>
      <c r="Q90" s="37" t="str">
        <f>'[1]1º TRIMESTRE'!Q90</f>
        <v>3.3.90.39</v>
      </c>
      <c r="R90" s="42">
        <f>'[1]1º TRIMESTRE'!R90+246257.76</f>
        <v>2179218.29</v>
      </c>
      <c r="S90" s="42">
        <v>246257.76</v>
      </c>
      <c r="T90" s="42">
        <f>'[1]1º TRIMESTRE'!T90+S90</f>
        <v>729415.09000000008</v>
      </c>
      <c r="U90" s="42">
        <f>'[1]1º TRIMESTRE'!U90+S90</f>
        <v>2159612.7199999997</v>
      </c>
      <c r="V90" s="37" t="str">
        <f>'[1]1º TRIMESTRE'!V90</f>
        <v>andamento</v>
      </c>
    </row>
    <row r="91" spans="1:22" ht="67.5" x14ac:dyDescent="0.25">
      <c r="A91" s="35" t="str">
        <f>'[1]1º TRIMESTRE'!A91</f>
        <v>CONCORRÊNCIA Licitação: 016/2023</v>
      </c>
      <c r="B91" s="35" t="str">
        <f>'[1]1º TRIMESTRE'!B91</f>
        <v>SERVIÇOS DE IMPLANTAÇÃO DA REDE DE DRENAGEM DE ÁGUAS PLUVIAIS E PAVIMENTAÇÃO DE VIAS, EM ÁREAS URBANAS, NA CIDADE DO RECIFE</v>
      </c>
      <c r="C91" s="36" t="s">
        <v>35</v>
      </c>
      <c r="D91" s="37" t="s">
        <v>36</v>
      </c>
      <c r="E91" s="37">
        <v>0</v>
      </c>
      <c r="F91" s="37">
        <v>0</v>
      </c>
      <c r="G91" s="38" t="str">
        <f>'[1]1º TRIMESTRE'!G91</f>
        <v>02.724.778/0001-79</v>
      </c>
      <c r="H91" s="38" t="str">
        <f>'[1]1º TRIMESTRE'!H91</f>
        <v>UNITERRA - UNIAO TERRAPLENAGEM E CONSTRUCOES LTDA</v>
      </c>
      <c r="I91" s="37" t="str">
        <f>'[1]1º TRIMESTRE'!I91</f>
        <v>6-062/23</v>
      </c>
      <c r="J91" s="39">
        <f>'[1]1º TRIMESTRE'!J91</f>
        <v>45208</v>
      </c>
      <c r="K91" s="40">
        <f>'[1]1º TRIMESTRE'!K91</f>
        <v>210</v>
      </c>
      <c r="L91" s="37">
        <f>'[1]1º TRIMESTRE'!L91</f>
        <v>6493788</v>
      </c>
      <c r="M91" s="39">
        <f t="shared" si="1"/>
        <v>45538</v>
      </c>
      <c r="N91" s="41">
        <f>'[1]1º TRIMESTRE'!N91+120</f>
        <v>120</v>
      </c>
      <c r="O91" s="42">
        <f>'[1]1º TRIMESTRE'!O91+1420031.42</f>
        <v>1420031.42</v>
      </c>
      <c r="P91" s="37">
        <f>'[1]1º TRIMESTRE'!P91</f>
        <v>0</v>
      </c>
      <c r="Q91" s="37" t="str">
        <f>'[1]1º TRIMESTRE'!Q91</f>
        <v>4.4.90.39</v>
      </c>
      <c r="R91" s="42">
        <f>'[1]1º TRIMESTRE'!R91+2827178.39</f>
        <v>6787476.7300000004</v>
      </c>
      <c r="S91" s="42">
        <v>2827178.39</v>
      </c>
      <c r="T91" s="42">
        <f>'[1]1º TRIMESTRE'!T91+S91</f>
        <v>4511922.88</v>
      </c>
      <c r="U91" s="42">
        <f>'[1]1º TRIMESTRE'!U91+S91</f>
        <v>6787476.7300000004</v>
      </c>
      <c r="V91" s="37" t="str">
        <f>'[1]1º TRIMESTRE'!V91</f>
        <v>andamento</v>
      </c>
    </row>
    <row r="92" spans="1:22" ht="33.75" x14ac:dyDescent="0.25">
      <c r="A92" s="35" t="str">
        <f>'[1]1º TRIMESTRE'!A92</f>
        <v>CONCORRÊNCIA Licitação: 016/2021</v>
      </c>
      <c r="B92" s="35" t="str">
        <f>'[1]1º TRIMESTRE'!B92</f>
        <v>SERVIÇOS DE RECUPERAÇÃO ESTRUTURAL DA PONTE RODOVIÁRIA, DENOMINADA ANTIGA PONTE GIRATÓRIA, QUE LIGA O BAIRRO DE SÃO JOSÉ AO BAIRRO DO RECIFE NA CIDADE DO RECIFE - PE</v>
      </c>
      <c r="C92" s="36" t="s">
        <v>35</v>
      </c>
      <c r="D92" s="37" t="s">
        <v>36</v>
      </c>
      <c r="E92" s="37">
        <v>0</v>
      </c>
      <c r="F92" s="37">
        <v>0</v>
      </c>
      <c r="G92" s="38" t="str">
        <f>'[1]1º TRIMESTRE'!G92</f>
        <v>00.507.949/0001-82</v>
      </c>
      <c r="H92" s="38" t="str">
        <f>'[1]1º TRIMESTRE'!H92</f>
        <v>JATOBETON ENGENHARIA LTDA</v>
      </c>
      <c r="I92" s="37" t="str">
        <f>'[1]1º TRIMESTRE'!I92</f>
        <v>6-063/21</v>
      </c>
      <c r="J92" s="39">
        <f>'[1]1º TRIMESTRE'!J92</f>
        <v>44615</v>
      </c>
      <c r="K92" s="40">
        <f>'[1]1º TRIMESTRE'!K92</f>
        <v>645</v>
      </c>
      <c r="L92" s="37">
        <f>'[1]1º TRIMESTRE'!L92</f>
        <v>9469419.6300000008</v>
      </c>
      <c r="M92" s="39">
        <f t="shared" si="1"/>
        <v>45330</v>
      </c>
      <c r="N92" s="41">
        <f>'[1]1º TRIMESTRE'!N92</f>
        <v>70</v>
      </c>
      <c r="O92" s="42">
        <f>'[1]1º TRIMESTRE'!O92</f>
        <v>2995457.54</v>
      </c>
      <c r="P92" s="37">
        <f>'[1]1º TRIMESTRE'!P92</f>
        <v>41719.01999999996</v>
      </c>
      <c r="Q92" s="37" t="str">
        <f>'[1]1º TRIMESTRE'!Q92</f>
        <v>4.4.90.39</v>
      </c>
      <c r="R92" s="42">
        <f>'[1]1º TRIMESTRE'!R92+151821.69</f>
        <v>8729204.9499999993</v>
      </c>
      <c r="S92" s="42"/>
      <c r="T92" s="42">
        <f>'[1]1º TRIMESTRE'!T92+S92</f>
        <v>0</v>
      </c>
      <c r="U92" s="42">
        <f>'[1]1º TRIMESTRE'!U92+S92</f>
        <v>8577383.2599999998</v>
      </c>
      <c r="V92" s="37" t="str">
        <f>'[1]1º TRIMESTRE'!V92</f>
        <v>andamento</v>
      </c>
    </row>
    <row r="93" spans="1:22" ht="33.75" x14ac:dyDescent="0.25">
      <c r="A93" s="35" t="str">
        <f>'[1]1º TRIMESTRE'!A93</f>
        <v>CONCORRÊNCIA / Nº 013/2021</v>
      </c>
      <c r="B93" s="35" t="str">
        <f>'[1]1º TRIMESTRE'!B93</f>
        <v>CONTRATAÇÃO DE EMPRESA DE PRODUÇÃO DE ARTES E ILUMINAÇÃO CÊNICA PARA EXECUÇÃO DOS SERVIÇOS DE VÍDEO MAPPING E PROJEÇÃO HOLOGRÁFICA EM CORTINA D`ÁGUA NO RIO CAPIBARIBE</v>
      </c>
      <c r="C93" s="36">
        <v>0</v>
      </c>
      <c r="D93" s="37">
        <v>0</v>
      </c>
      <c r="E93" s="37">
        <v>0</v>
      </c>
      <c r="F93" s="37">
        <v>0</v>
      </c>
      <c r="G93" s="38" t="str">
        <f>'[1]1º TRIMESTRE'!G93</f>
        <v>20.165.281/0001-40</v>
      </c>
      <c r="H93" s="38" t="str">
        <f>'[1]1º TRIMESTRE'!H93</f>
        <v>TNP PRODUCOES DE EVENTOS LTDA</v>
      </c>
      <c r="I93" s="37" t="str">
        <f>'[1]1º TRIMESTRE'!I93</f>
        <v>6-064/21</v>
      </c>
      <c r="J93" s="39">
        <f>'[1]1º TRIMESTRE'!J93</f>
        <v>44559</v>
      </c>
      <c r="K93" s="40">
        <f>'[1]1º TRIMESTRE'!K93</f>
        <v>760</v>
      </c>
      <c r="L93" s="37">
        <f>'[1]1º TRIMESTRE'!L93</f>
        <v>2227129.66</v>
      </c>
      <c r="M93" s="39">
        <f t="shared" si="1"/>
        <v>45380</v>
      </c>
      <c r="N93" s="41">
        <f>'[1]1º TRIMESTRE'!N93</f>
        <v>61</v>
      </c>
      <c r="O93" s="42">
        <f>'[1]1º TRIMESTRE'!O93</f>
        <v>426390.81</v>
      </c>
      <c r="P93" s="37">
        <f>'[1]1º TRIMESTRE'!P93</f>
        <v>0</v>
      </c>
      <c r="Q93" s="37" t="str">
        <f>'[1]1º TRIMESTRE'!Q93</f>
        <v>4.4.90.39</v>
      </c>
      <c r="R93" s="42">
        <f>'[1]1º TRIMESTRE'!R93</f>
        <v>2511665.41</v>
      </c>
      <c r="S93" s="42">
        <v>0</v>
      </c>
      <c r="T93" s="42">
        <f>'[1]1º TRIMESTRE'!T93+S93</f>
        <v>117495.32999999999</v>
      </c>
      <c r="U93" s="42">
        <f>'[1]1º TRIMESTRE'!U93+S93</f>
        <v>2511665.41</v>
      </c>
      <c r="V93" s="37" t="str">
        <f>'[1]1º TRIMESTRE'!V93</f>
        <v>encerrado</v>
      </c>
    </row>
    <row r="94" spans="1:22" ht="33.75" x14ac:dyDescent="0.25">
      <c r="A94" s="35" t="str">
        <f>'[1]1º TRIMESTRE'!A94</f>
        <v>CONCORRÊNCIA Licitação: 001/2021</v>
      </c>
      <c r="B94" s="35" t="str">
        <f>'[1]1º TRIMESTRE'!B94</f>
        <v>CONTRATAÇÃO DE EMPRESA SANITÁRIA ESPECIALIZADA PARA A EXECUÇÃO DOS SERVIÇOS DE COLETA E LIMPEZA URBANA NO MUNICÍPIO DO RECIFE. LOTE 1</v>
      </c>
      <c r="C94" s="36">
        <v>0</v>
      </c>
      <c r="D94" s="37">
        <v>0</v>
      </c>
      <c r="E94" s="37">
        <v>0</v>
      </c>
      <c r="F94" s="37">
        <v>0</v>
      </c>
      <c r="G94" s="38" t="str">
        <f>'[1]1º TRIMESTRE'!G94</f>
        <v>45.791.369/0001-06</v>
      </c>
      <c r="H94" s="38" t="str">
        <f>'[1]1º TRIMESTRE'!H94</f>
        <v>Consórcio Recife Ambiental</v>
      </c>
      <c r="I94" s="37" t="str">
        <f>'[1]1º TRIMESTRE'!I94</f>
        <v>6-064/22</v>
      </c>
      <c r="J94" s="39">
        <f>'[1]1º TRIMESTRE'!J94</f>
        <v>44649</v>
      </c>
      <c r="K94" s="40">
        <f>'[1]1º TRIMESTRE'!K94</f>
        <v>1825</v>
      </c>
      <c r="L94" s="37">
        <f>'[1]1º TRIMESTRE'!L94</f>
        <v>330511059.97000003</v>
      </c>
      <c r="M94" s="39">
        <f t="shared" si="1"/>
        <v>46474</v>
      </c>
      <c r="N94" s="41">
        <f>'[1]1º TRIMESTRE'!N94</f>
        <v>0</v>
      </c>
      <c r="O94" s="42">
        <f>'[1]1º TRIMESTRE'!O94</f>
        <v>0</v>
      </c>
      <c r="P94" s="37">
        <f>'[1]1º TRIMESTRE'!P94+4900439.05</f>
        <v>52270093.569999993</v>
      </c>
      <c r="Q94" s="37" t="str">
        <f>'[1]1º TRIMESTRE'!Q94</f>
        <v>3.3.90.39</v>
      </c>
      <c r="R94" s="42">
        <f>'[1]1º TRIMESTRE'!R94+17164557.06</f>
        <v>106464433.07000001</v>
      </c>
      <c r="S94" s="42">
        <v>17153101.329999998</v>
      </c>
      <c r="T94" s="42">
        <f>'[1]1º TRIMESTRE'!T94+S94</f>
        <v>39074322.730000004</v>
      </c>
      <c r="U94" s="42">
        <f>'[1]1º TRIMESTRE'!U94+S94</f>
        <v>106452977.34000002</v>
      </c>
      <c r="V94" s="37" t="str">
        <f>'[1]1º TRIMESTRE'!V94</f>
        <v>andamento</v>
      </c>
    </row>
    <row r="95" spans="1:22" ht="56.25" x14ac:dyDescent="0.25">
      <c r="A95" s="35" t="str">
        <f>'[1]1º TRIMESTRE'!A95</f>
        <v>CONCORRÊNCIA Licitação: 013/2023</v>
      </c>
      <c r="B95" s="35" t="str">
        <f>'[1]1º TRIMESTRE'!B95</f>
        <v>CONTRATAÇÃO DE EMPRESA DE ENGENHARIA, ESPECIALIZADA EM ILUMINAÇÃO PÚBLICA, PARA FORNECIMENTO E INSTALAÇÃO DE LUMINÁRIAS COM TECNOLOGIA LED E REDE ELÉTRICA, PARA ILUMINAÇÃO PEDONAL DO POLÍGONO VIÁRIO DA ZONA SUL DO MUNICÍPIO DE RECIFE PE</v>
      </c>
      <c r="C95" s="36">
        <v>0</v>
      </c>
      <c r="D95" s="37">
        <v>0</v>
      </c>
      <c r="E95" s="37">
        <v>0</v>
      </c>
      <c r="F95" s="37">
        <v>0</v>
      </c>
      <c r="G95" s="38" t="str">
        <f>'[1]1º TRIMESTRE'!G95</f>
        <v>03.834.750/0001-57</v>
      </c>
      <c r="H95" s="38" t="str">
        <f>'[1]1º TRIMESTRE'!H95</f>
        <v>EIP SERVICOS DE ILUMINACAO LTDA</v>
      </c>
      <c r="I95" s="37" t="str">
        <f>'[1]1º TRIMESTRE'!I95</f>
        <v>6-064/23</v>
      </c>
      <c r="J95" s="39">
        <f>'[1]1º TRIMESTRE'!J95</f>
        <v>45202</v>
      </c>
      <c r="K95" s="40">
        <f>'[1]1º TRIMESTRE'!K95</f>
        <v>395</v>
      </c>
      <c r="L95" s="37">
        <f>'[1]1º TRIMESTRE'!L95</f>
        <v>20882563.460000001</v>
      </c>
      <c r="M95" s="39">
        <f t="shared" si="1"/>
        <v>45597</v>
      </c>
      <c r="N95" s="41">
        <f>'[1]1º TRIMESTRE'!N95</f>
        <v>0</v>
      </c>
      <c r="O95" s="42">
        <f>'[1]1º TRIMESTRE'!O95</f>
        <v>0</v>
      </c>
      <c r="P95" s="37">
        <f>'[1]1º TRIMESTRE'!P95</f>
        <v>0</v>
      </c>
      <c r="Q95" s="37" t="str">
        <f>'[1]1º TRIMESTRE'!Q95</f>
        <v>4.4.90.39</v>
      </c>
      <c r="R95" s="42">
        <f>'[1]1º TRIMESTRE'!R95+1495168.8</f>
        <v>4823313.5</v>
      </c>
      <c r="S95" s="42">
        <v>1740825.25</v>
      </c>
      <c r="T95" s="42">
        <f>'[1]1º TRIMESTRE'!T95+S95</f>
        <v>3729781.6799999997</v>
      </c>
      <c r="U95" s="42">
        <f>'[1]1º TRIMESTRE'!U95+S95</f>
        <v>4323890.75</v>
      </c>
      <c r="V95" s="37" t="str">
        <f>'[1]1º TRIMESTRE'!V95</f>
        <v>andamento</v>
      </c>
    </row>
    <row r="96" spans="1:22" ht="33.75" x14ac:dyDescent="0.25">
      <c r="A96" s="35" t="str">
        <f>'[1]1º TRIMESTRE'!A96</f>
        <v>CONCORRÊNCIA Licitação: 001/2021</v>
      </c>
      <c r="B96" s="35" t="str">
        <f>'[1]1º TRIMESTRE'!B96</f>
        <v>CONTRATAÇÃO DE EMPRESA SANITÁRIA ESPECIALIZADA PARA A EXECUÇÃO DOS SERVIÇOS DE COLETA E LIMPEZA URBANA NO MUNICÍPIO DO RECIFE. LOTE 2</v>
      </c>
      <c r="C96" s="36">
        <v>0</v>
      </c>
      <c r="D96" s="37">
        <v>0</v>
      </c>
      <c r="E96" s="37">
        <v>0</v>
      </c>
      <c r="F96" s="37">
        <v>0</v>
      </c>
      <c r="G96" s="38" t="str">
        <f>'[1]1º TRIMESTRE'!G96</f>
        <v>45.791.369/0001-06</v>
      </c>
      <c r="H96" s="38" t="str">
        <f>'[1]1º TRIMESTRE'!H96</f>
        <v>Consórcio Recife Ambiental</v>
      </c>
      <c r="I96" s="37" t="str">
        <f>'[1]1º TRIMESTRE'!I96</f>
        <v>6-065/22</v>
      </c>
      <c r="J96" s="39">
        <f>'[1]1º TRIMESTRE'!J96</f>
        <v>44649</v>
      </c>
      <c r="K96" s="40">
        <f>'[1]1º TRIMESTRE'!K96</f>
        <v>1825</v>
      </c>
      <c r="L96" s="37">
        <f>'[1]1º TRIMESTRE'!L96</f>
        <v>775440867.03999996</v>
      </c>
      <c r="M96" s="39">
        <f t="shared" si="1"/>
        <v>46474</v>
      </c>
      <c r="N96" s="41">
        <f>'[1]1º TRIMESTRE'!N96</f>
        <v>0</v>
      </c>
      <c r="O96" s="42">
        <f>'[1]1º TRIMESTRE'!O96</f>
        <v>0</v>
      </c>
      <c r="P96" s="37">
        <f>'[1]1º TRIMESTRE'!P96+12051111.25</f>
        <v>122222839.15000001</v>
      </c>
      <c r="Q96" s="37" t="str">
        <f>'[1]1º TRIMESTRE'!Q96</f>
        <v>3.3.90.39</v>
      </c>
      <c r="R96" s="42">
        <f>'[1]1º TRIMESTRE'!R96+45281314.04</f>
        <v>278618340.84000003</v>
      </c>
      <c r="S96" s="42">
        <v>39365644.049999997</v>
      </c>
      <c r="T96" s="42">
        <f>'[1]1º TRIMESTRE'!T96+S96</f>
        <v>82985312.289999992</v>
      </c>
      <c r="U96" s="42">
        <f>'[1]1º TRIMESTRE'!U96+S96</f>
        <v>272702670.85000002</v>
      </c>
      <c r="V96" s="37" t="str">
        <f>'[1]1º TRIMESTRE'!V96</f>
        <v>andamento</v>
      </c>
    </row>
    <row r="97" spans="1:22" ht="45" x14ac:dyDescent="0.25">
      <c r="A97" s="35" t="str">
        <f>'[1]1º TRIMESTRE'!A97</f>
        <v>CONCORRÊNCIA Licitação: 017/2023</v>
      </c>
      <c r="B97" s="35" t="str">
        <f>'[1]1º TRIMESTRE'!B97</f>
        <v>SERVIÇOS DE MANUTENÇÃO PREVENTIVA DO SISTEMA DA MACRODRENAGEM DAS RPA'S 04 E 05 DA CIDADE DO RECIFE</v>
      </c>
      <c r="C97" s="36">
        <v>0</v>
      </c>
      <c r="D97" s="37">
        <v>0</v>
      </c>
      <c r="E97" s="37">
        <v>0</v>
      </c>
      <c r="F97" s="37">
        <v>0</v>
      </c>
      <c r="G97" s="38" t="str">
        <f>'[1]1º TRIMESTRE'!G97</f>
        <v>01.514.128/0001-36</v>
      </c>
      <c r="H97" s="38" t="str">
        <f>'[1]1º TRIMESTRE'!H97</f>
        <v>SCAVE SERVICOS DE ENGENHARIA E LOCACAO LTDA</v>
      </c>
      <c r="I97" s="37" t="str">
        <f>'[1]1º TRIMESTRE'!I97</f>
        <v>6-065/23</v>
      </c>
      <c r="J97" s="39">
        <f>'[1]1º TRIMESTRE'!J97</f>
        <v>45216</v>
      </c>
      <c r="K97" s="40">
        <f>'[1]1º TRIMESTRE'!K97</f>
        <v>365</v>
      </c>
      <c r="L97" s="37">
        <f>'[1]1º TRIMESTRE'!L97</f>
        <v>6315784.2300000004</v>
      </c>
      <c r="M97" s="39">
        <f t="shared" si="1"/>
        <v>45581</v>
      </c>
      <c r="N97" s="41">
        <f>'[1]1º TRIMESTRE'!N97</f>
        <v>0</v>
      </c>
      <c r="O97" s="42">
        <f>'[1]1º TRIMESTRE'!O97</f>
        <v>0</v>
      </c>
      <c r="P97" s="37">
        <f>'[1]1º TRIMESTRE'!P97</f>
        <v>0</v>
      </c>
      <c r="Q97" s="37" t="str">
        <f>'[1]1º TRIMESTRE'!Q97</f>
        <v>3.3.90.39</v>
      </c>
      <c r="R97" s="42">
        <f>'[1]1º TRIMESTRE'!R97+1562144.56</f>
        <v>2783303.0300000003</v>
      </c>
      <c r="S97" s="42">
        <v>2234419.2599999998</v>
      </c>
      <c r="T97" s="42">
        <f>'[1]1º TRIMESTRE'!T97+S97</f>
        <v>2783303.03</v>
      </c>
      <c r="U97" s="42">
        <f>'[1]1º TRIMESTRE'!U97+S97</f>
        <v>2783303.03</v>
      </c>
      <c r="V97" s="37" t="str">
        <f>'[1]1º TRIMESTRE'!V97</f>
        <v>andamento</v>
      </c>
    </row>
    <row r="98" spans="1:22" ht="67.5" x14ac:dyDescent="0.25">
      <c r="A98" s="35" t="str">
        <f>'[1]1º TRIMESTRE'!A98</f>
        <v>CONCORRÊNCIA Licitação: 018/2022</v>
      </c>
      <c r="B98" s="35" t="str">
        <f>'[1]1º TRIMESTRE'!B98</f>
        <v>CONTRATAÇÃO DE EMPRESA DE ENGENHARIA PARA PRESTAÇÃO DOS SERVIÇOS DE MANUTENÇÃO DO ENROCAMENTO DE PEDRAS DA PROTEÇÃO EXISTENTE NA ORLA DE BOA VIAGEM, RECIFE/PE</v>
      </c>
      <c r="C98" s="36">
        <v>0</v>
      </c>
      <c r="D98" s="37">
        <v>0</v>
      </c>
      <c r="E98" s="37">
        <v>0</v>
      </c>
      <c r="F98" s="37">
        <v>0</v>
      </c>
      <c r="G98" s="38" t="str">
        <f>'[1]1º TRIMESTRE'!G98</f>
        <v>70.086.111/0001-48</v>
      </c>
      <c r="H98" s="38" t="str">
        <f>'[1]1º TRIMESTRE'!H98</f>
        <v>COASTAL - CONSTRUÇÕES E SOLUÇÕES TÉCNICAS AMBIENTAIS EIRELI</v>
      </c>
      <c r="I98" s="37" t="str">
        <f>'[1]1º TRIMESTRE'!I98</f>
        <v>6-066/22</v>
      </c>
      <c r="J98" s="39">
        <f>'[1]1º TRIMESTRE'!J98</f>
        <v>44855</v>
      </c>
      <c r="K98" s="40">
        <f>'[1]1º TRIMESTRE'!K98</f>
        <v>820</v>
      </c>
      <c r="L98" s="37">
        <f>'[1]1º TRIMESTRE'!L98</f>
        <v>4513103.68</v>
      </c>
      <c r="M98" s="39">
        <f t="shared" si="1"/>
        <v>45675</v>
      </c>
      <c r="N98" s="41">
        <f>'[1]1º TRIMESTRE'!N98</f>
        <v>0</v>
      </c>
      <c r="O98" s="42">
        <f>'[1]1º TRIMESTRE'!O98+296870.61</f>
        <v>296870.61</v>
      </c>
      <c r="P98" s="37">
        <f>'[1]1º TRIMESTRE'!P98</f>
        <v>152939.19</v>
      </c>
      <c r="Q98" s="37" t="str">
        <f>'[1]1º TRIMESTRE'!Q98</f>
        <v>3.3.90.39</v>
      </c>
      <c r="R98" s="42">
        <f>'[1]1º TRIMESTRE'!R98+629733.11</f>
        <v>3343485.9</v>
      </c>
      <c r="S98" s="42">
        <v>656176.67000000004</v>
      </c>
      <c r="T98" s="42">
        <f>'[1]1º TRIMESTRE'!T98+S98</f>
        <v>1188676.54</v>
      </c>
      <c r="U98" s="42">
        <f>'[1]1º TRIMESTRE'!U98+S98</f>
        <v>3343485.9</v>
      </c>
      <c r="V98" s="37" t="str">
        <f>'[1]1º TRIMESTRE'!V98</f>
        <v>andamento</v>
      </c>
    </row>
    <row r="99" spans="1:22" ht="45" x14ac:dyDescent="0.25">
      <c r="A99" s="35" t="str">
        <f>'[1]1º TRIMESTRE'!A99</f>
        <v>Pregão Eletrônico Licitação: 007/2023</v>
      </c>
      <c r="B99" s="35" t="str">
        <f>'[1]1º TRIMESTRE'!B99</f>
        <v>FORNECER E INSTALAR ALAMBRADOS E PISO FULGET VISANDO ATENDER A DEMANDA DE MANUTENÇÃO DE PARQUES, PRAÇAS E ÁREAS VERDES NA CIDADE DO RECIFE.(SEI. 15.000896/2023-62) PREGÃO ELETRÔNICO Nº 007/2023</v>
      </c>
      <c r="C99" s="36" t="s">
        <v>35</v>
      </c>
      <c r="D99" s="37" t="s">
        <v>36</v>
      </c>
      <c r="E99" s="37">
        <v>0</v>
      </c>
      <c r="F99" s="37">
        <v>0</v>
      </c>
      <c r="G99" s="38" t="str">
        <f>'[1]1º TRIMESTRE'!G99</f>
        <v>08.135.535/0001-81</v>
      </c>
      <c r="H99" s="38" t="str">
        <f>'[1]1º TRIMESTRE'!H99</f>
        <v>CONSTRUTORA FJ LTDA</v>
      </c>
      <c r="I99" s="37" t="str">
        <f>'[1]1º TRIMESTRE'!I99</f>
        <v>6-068/23</v>
      </c>
      <c r="J99" s="39">
        <f>'[1]1º TRIMESTRE'!J99</f>
        <v>45246</v>
      </c>
      <c r="K99" s="40">
        <f>'[1]1º TRIMESTRE'!K99</f>
        <v>210</v>
      </c>
      <c r="L99" s="37">
        <f>'[1]1º TRIMESTRE'!L99</f>
        <v>3520989</v>
      </c>
      <c r="M99" s="39">
        <f t="shared" si="1"/>
        <v>45456</v>
      </c>
      <c r="N99" s="41">
        <f>'[1]1º TRIMESTRE'!N99</f>
        <v>0</v>
      </c>
      <c r="O99" s="42">
        <f>'[1]1º TRIMESTRE'!O99</f>
        <v>785460</v>
      </c>
      <c r="P99" s="37">
        <f>'[1]1º TRIMESTRE'!P99</f>
        <v>0</v>
      </c>
      <c r="Q99" s="37" t="str">
        <f>'[1]1º TRIMESTRE'!Q99</f>
        <v>4.4.90.39</v>
      </c>
      <c r="R99" s="42">
        <f>'[1]1º TRIMESTRE'!R99+835719.9</f>
        <v>2781037.3400000003</v>
      </c>
      <c r="S99" s="42">
        <v>835719.9</v>
      </c>
      <c r="T99" s="42">
        <f>'[1]1º TRIMESTRE'!T99+S99</f>
        <v>1035717.74</v>
      </c>
      <c r="U99" s="42">
        <f>'[1]1º TRIMESTRE'!U99+S99</f>
        <v>2710065.98</v>
      </c>
      <c r="V99" s="37" t="str">
        <f>'[1]1º TRIMESTRE'!V99</f>
        <v>andamento</v>
      </c>
    </row>
    <row r="100" spans="1:22" ht="56.25" x14ac:dyDescent="0.25">
      <c r="A100" s="35" t="str">
        <f>'[1]1º TRIMESTRE'!A100</f>
        <v>CONCORRÊNCIA Licitação: 019/2022</v>
      </c>
      <c r="B100" s="35" t="str">
        <f>'[1]1º TRIMESTRE'!B100</f>
        <v>SERVIÇOS DE MANUTENÇÃO PREVENTIVA (IMPLANTANÇÃO, REQUALIFICAÇÃO E/OU RECAPEAMENTO DE VIAS) EM CONCRETO BETUMINOSO USINADO À QUENTE - CBUQ DO SISTEMA VIÁRIO DA CIDADE DO RECIFE. LOTE I - RPA 01</v>
      </c>
      <c r="C100" s="36" t="s">
        <v>45</v>
      </c>
      <c r="D100" s="37" t="s">
        <v>46</v>
      </c>
      <c r="E100" s="37">
        <v>45000000</v>
      </c>
      <c r="F100" s="37">
        <v>5000000</v>
      </c>
      <c r="G100" s="38" t="str">
        <f>'[1]1º TRIMESTRE'!G100</f>
        <v>40.882.060/0001-08</v>
      </c>
      <c r="H100" s="38" t="str">
        <f>'[1]1º TRIMESTRE'!H100</f>
        <v>LIDERMAC CONSTRUCOES E EQUIPAMENTOS LTDA</v>
      </c>
      <c r="I100" s="37" t="str">
        <f>'[1]1º TRIMESTRE'!I100</f>
        <v>6-069/22</v>
      </c>
      <c r="J100" s="39">
        <f>'[1]1º TRIMESTRE'!J100</f>
        <v>44861</v>
      </c>
      <c r="K100" s="40">
        <f>'[1]1º TRIMESTRE'!K100</f>
        <v>760</v>
      </c>
      <c r="L100" s="37">
        <f>'[1]1º TRIMESTRE'!L100</f>
        <v>35222846.310000002</v>
      </c>
      <c r="M100" s="39">
        <f t="shared" si="1"/>
        <v>45621</v>
      </c>
      <c r="N100" s="41">
        <f>'[1]1º TRIMESTRE'!N100</f>
        <v>0</v>
      </c>
      <c r="O100" s="42">
        <f>'[1]1º TRIMESTRE'!O100</f>
        <v>2847136.5</v>
      </c>
      <c r="P100" s="37">
        <f>'[1]1º TRIMESTRE'!P100</f>
        <v>1203191.8899999999</v>
      </c>
      <c r="Q100" s="37" t="str">
        <f>'[1]1º TRIMESTRE'!Q100</f>
        <v>4.4.90.39</v>
      </c>
      <c r="R100" s="42">
        <f>'[1]1º TRIMESTRE'!R100+439320.26</f>
        <v>18368266.810000002</v>
      </c>
      <c r="S100" s="42">
        <v>439320.26</v>
      </c>
      <c r="T100" s="42">
        <f>'[1]1º TRIMESTRE'!T100+S100</f>
        <v>2231344.4299999997</v>
      </c>
      <c r="U100" s="42">
        <f>'[1]1º TRIMESTRE'!U100+S100</f>
        <v>18368266.810000002</v>
      </c>
      <c r="V100" s="37" t="str">
        <f>'[1]1º TRIMESTRE'!V100</f>
        <v>andamento</v>
      </c>
    </row>
    <row r="101" spans="1:22" ht="56.25" x14ac:dyDescent="0.25">
      <c r="A101" s="35" t="str">
        <f>'[1]1º TRIMESTRE'!A101</f>
        <v>CONCORRÊNCIA Licitação: 027/2022</v>
      </c>
      <c r="B101" s="35" t="str">
        <f>'[1]1º TRIMESTRE'!B101</f>
        <v>CONTRATAÇÃO DE EMPRESA DE ENGENHARIA, ESPECIALIZADA EM ILUMINAÇÃO PÚBLICA, PARA FORNECIMENTO E INSTALAÇÃO DE LUMINÁRIAS COM TECNOLOGIA LED E REDE ELÉTRICA, PARA ILUMINAÇÃO PEDONAL DO POLÍGONO VIÁRIO DA ZONA NORTE DO RECIFE</v>
      </c>
      <c r="C101" s="36">
        <v>0</v>
      </c>
      <c r="D101" s="37">
        <v>0</v>
      </c>
      <c r="E101" s="37">
        <v>0</v>
      </c>
      <c r="F101" s="37">
        <v>0</v>
      </c>
      <c r="G101" s="38" t="str">
        <f>'[1]1º TRIMESTRE'!G101</f>
        <v>01.346.561/0001-00</v>
      </c>
      <c r="H101" s="38" t="str">
        <f>'[1]1º TRIMESTRE'!H101</f>
        <v>VASCONCELOS E SANTOS LTDA</v>
      </c>
      <c r="I101" s="37" t="str">
        <f>'[1]1º TRIMESTRE'!I101</f>
        <v>6-069/23</v>
      </c>
      <c r="J101" s="39">
        <f>'[1]1º TRIMESTRE'!J101</f>
        <v>45238</v>
      </c>
      <c r="K101" s="40">
        <f>'[1]1º TRIMESTRE'!K101</f>
        <v>760</v>
      </c>
      <c r="L101" s="37">
        <f>'[1]1º TRIMESTRE'!L101</f>
        <v>29276042.73</v>
      </c>
      <c r="M101" s="39">
        <f t="shared" si="1"/>
        <v>45998</v>
      </c>
      <c r="N101" s="41">
        <f>'[1]1º TRIMESTRE'!N101</f>
        <v>0</v>
      </c>
      <c r="O101" s="42">
        <f>'[1]1º TRIMESTRE'!O101</f>
        <v>0</v>
      </c>
      <c r="P101" s="37">
        <f>'[1]1º TRIMESTRE'!P101</f>
        <v>0</v>
      </c>
      <c r="Q101" s="37" t="str">
        <f>'[1]1º TRIMESTRE'!Q101</f>
        <v>4.4.90.39</v>
      </c>
      <c r="R101" s="42">
        <f>'[1]1º TRIMESTRE'!R101+1027021.99</f>
        <v>1329280.1599999999</v>
      </c>
      <c r="S101" s="42">
        <v>527199.88</v>
      </c>
      <c r="T101" s="42">
        <f>'[1]1º TRIMESTRE'!T101+S101</f>
        <v>829458.05</v>
      </c>
      <c r="U101" s="42">
        <f>'[1]1º TRIMESTRE'!U101+S101</f>
        <v>829458.05</v>
      </c>
      <c r="V101" s="37" t="str">
        <f>'[1]1º TRIMESTRE'!V101</f>
        <v>andamento</v>
      </c>
    </row>
    <row r="102" spans="1:22" ht="56.25" x14ac:dyDescent="0.25">
      <c r="A102" s="35" t="str">
        <f>'[1]1º TRIMESTRE'!A102</f>
        <v>CONCORRÊNCIA Licitação: 019/2022</v>
      </c>
      <c r="B102" s="35" t="str">
        <f>'[1]1º TRIMESTRE'!B102</f>
        <v>SERVIÇOS DE MANUTENÇÃO PREVENTIVA (IMPLANTANÇÃO, REQUALIFICAÇÃO E/OU RECAPEAMENTO DE VIAS) EM CONCRETO BETUMINOSO USINADO À QUENTE - CBUQ DO SISTEMA VIÁRIO DA CIDADE DO RECIFE LOTE II - RPA 02 E 03.</v>
      </c>
      <c r="C102" s="36" t="s">
        <v>45</v>
      </c>
      <c r="D102" s="37" t="s">
        <v>46</v>
      </c>
      <c r="E102" s="37">
        <v>45000000</v>
      </c>
      <c r="F102" s="37">
        <v>5000000</v>
      </c>
      <c r="G102" s="38" t="str">
        <f>'[1]1º TRIMESTRE'!G102</f>
        <v>00.999.591/0001-52</v>
      </c>
      <c r="H102" s="38" t="str">
        <f>'[1]1º TRIMESTRE'!H102</f>
        <v xml:space="preserve">AGC CONSTRUTORA E EMPREENDIMENTOS LTDA      </v>
      </c>
      <c r="I102" s="37" t="str">
        <f>'[1]1º TRIMESTRE'!I102</f>
        <v>6-070/22</v>
      </c>
      <c r="J102" s="39">
        <f>'[1]1º TRIMESTRE'!J102</f>
        <v>44861</v>
      </c>
      <c r="K102" s="40">
        <f>'[1]1º TRIMESTRE'!K102</f>
        <v>760</v>
      </c>
      <c r="L102" s="37">
        <f>'[1]1º TRIMESTRE'!L102</f>
        <v>37890417.210000001</v>
      </c>
      <c r="M102" s="39">
        <f t="shared" si="1"/>
        <v>45621</v>
      </c>
      <c r="N102" s="41">
        <f>'[1]1º TRIMESTRE'!N102</f>
        <v>0</v>
      </c>
      <c r="O102" s="42">
        <f>'[1]1º TRIMESTRE'!O102</f>
        <v>321603.59999999998</v>
      </c>
      <c r="P102" s="37">
        <f>'[1]1º TRIMESTRE'!P102</f>
        <v>1323428.1100000001</v>
      </c>
      <c r="Q102" s="37" t="str">
        <f>'[1]1º TRIMESTRE'!Q102</f>
        <v>4.4.90.39</v>
      </c>
      <c r="R102" s="42">
        <f>'[1]1º TRIMESTRE'!R102+735174.63</f>
        <v>18275452.719999999</v>
      </c>
      <c r="S102" s="42">
        <v>735174.63</v>
      </c>
      <c r="T102" s="42">
        <f>'[1]1º TRIMESTRE'!T102+S102</f>
        <v>735174.63</v>
      </c>
      <c r="U102" s="42">
        <f>'[1]1º TRIMESTRE'!U102+S102</f>
        <v>18275452.319999997</v>
      </c>
      <c r="V102" s="37" t="str">
        <f>'[1]1º TRIMESTRE'!V102</f>
        <v>andamento</v>
      </c>
    </row>
    <row r="103" spans="1:22" ht="56.25" x14ac:dyDescent="0.25">
      <c r="A103" s="35" t="str">
        <f>'[1]1º TRIMESTRE'!A103</f>
        <v>CONCORRÊNCIA Licitação: 018/2023</v>
      </c>
      <c r="B103" s="35" t="str">
        <f>'[1]1º TRIMESTRE'!B103</f>
        <v xml:space="preserve"> IMPLANTAÇÃO DE REDE DE DRENAGEM DE ÁGUAS PLUVIAIS E PAVIMENTAÇÃO EM CBUQ DAS RUAS PROFESSOR NESTOR BEZERRA, JORNALISTA MURILO MARROQUIM, LOCALIZADAS NO BAIRRO DA VÁRZEA, RECIFE - PE E DA RA ENGENHEIRO JOSÉ BATISTA, LOCALIZADA NO BAIRRO DA CAXANGÁ</v>
      </c>
      <c r="C103" s="36" t="s">
        <v>35</v>
      </c>
      <c r="D103" s="37" t="s">
        <v>36</v>
      </c>
      <c r="E103" s="37">
        <v>0</v>
      </c>
      <c r="F103" s="37">
        <v>0</v>
      </c>
      <c r="G103" s="38" t="str">
        <f>'[1]1º TRIMESTRE'!G103</f>
        <v>31.661.468/0001-50</v>
      </c>
      <c r="H103" s="38" t="str">
        <f>'[1]1º TRIMESTRE'!H103</f>
        <v>CONVERGE SERVICOS DE ENGENHARIA LTDA</v>
      </c>
      <c r="I103" s="37" t="str">
        <f>'[1]1º TRIMESTRE'!I103</f>
        <v>6-070/23</v>
      </c>
      <c r="J103" s="39">
        <f>'[1]1º TRIMESTRE'!J103</f>
        <v>45258</v>
      </c>
      <c r="K103" s="40">
        <f>'[1]1º TRIMESTRE'!K103</f>
        <v>270</v>
      </c>
      <c r="L103" s="37">
        <f>'[1]1º TRIMESTRE'!L103</f>
        <v>4554739.29</v>
      </c>
      <c r="M103" s="39">
        <f t="shared" si="1"/>
        <v>45528</v>
      </c>
      <c r="N103" s="41">
        <f>'[1]1º TRIMESTRE'!N103</f>
        <v>0</v>
      </c>
      <c r="O103" s="42">
        <f>'[1]1º TRIMESTRE'!O103</f>
        <v>0</v>
      </c>
      <c r="P103" s="37">
        <f>'[1]1º TRIMESTRE'!P103</f>
        <v>0</v>
      </c>
      <c r="Q103" s="37" t="str">
        <f>'[1]1º TRIMESTRE'!Q103</f>
        <v>4.4.90.39</v>
      </c>
      <c r="R103" s="42">
        <f>'[1]1º TRIMESTRE'!R103+1858935.53</f>
        <v>2757645.59</v>
      </c>
      <c r="S103" s="42">
        <v>1605775.47</v>
      </c>
      <c r="T103" s="42">
        <f>'[1]1º TRIMESTRE'!T103+S103</f>
        <v>2429037.23</v>
      </c>
      <c r="U103" s="42">
        <f>'[1]1º TRIMESTRE'!U103+S103</f>
        <v>2429037.23</v>
      </c>
      <c r="V103" s="37" t="str">
        <f>'[1]1º TRIMESTRE'!V103</f>
        <v>andamento</v>
      </c>
    </row>
    <row r="104" spans="1:22" ht="45" x14ac:dyDescent="0.25">
      <c r="A104" s="35" t="str">
        <f>'[1]1º TRIMESTRE'!A104</f>
        <v>CONCORRÊNCIA Licitação: 019/2022</v>
      </c>
      <c r="B104" s="35" t="str">
        <f>'[1]1º TRIMESTRE'!B104</f>
        <v>SERVIÇOS DE MANUTENÇÃO PREVENTIVA (IMPLANTANÇÃO, REQUALIFICAÇÃO E/OU RECAPEAMENTO DE VIAS) EM CONCRETO BETUMINOSO USINADO À QUENTE - CBUQ DO SISTEMA VIÁRIO DA CIDADE DO RECIFE. LOTE III - RPA 04 E 05</v>
      </c>
      <c r="C104" s="36" t="s">
        <v>45</v>
      </c>
      <c r="D104" s="37" t="s">
        <v>46</v>
      </c>
      <c r="E104" s="37">
        <v>45000000</v>
      </c>
      <c r="F104" s="37">
        <v>5000000</v>
      </c>
      <c r="G104" s="38" t="str">
        <f>'[1]1º TRIMESTRE'!G104</f>
        <v>23.742.620/0001-00</v>
      </c>
      <c r="H104" s="38" t="str">
        <f>'[1]1º TRIMESTRE'!H104</f>
        <v>INSTTALE ENGENHARIA LTDA</v>
      </c>
      <c r="I104" s="37" t="str">
        <f>'[1]1º TRIMESTRE'!I104</f>
        <v>6-071/22</v>
      </c>
      <c r="J104" s="39">
        <f>'[1]1º TRIMESTRE'!J104</f>
        <v>44861</v>
      </c>
      <c r="K104" s="40">
        <f>'[1]1º TRIMESTRE'!K104</f>
        <v>760</v>
      </c>
      <c r="L104" s="37">
        <f>'[1]1º TRIMESTRE'!L104</f>
        <v>52662087.729999997</v>
      </c>
      <c r="M104" s="39">
        <f t="shared" si="1"/>
        <v>45621</v>
      </c>
      <c r="N104" s="41">
        <f>'[1]1º TRIMESTRE'!N104</f>
        <v>0</v>
      </c>
      <c r="O104" s="42">
        <f>'[1]1º TRIMESTRE'!O104</f>
        <v>5199287.4000000004</v>
      </c>
      <c r="P104" s="37">
        <f>'[1]1º TRIMESTRE'!P104</f>
        <v>0</v>
      </c>
      <c r="Q104" s="37" t="str">
        <f>'[1]1º TRIMESTRE'!Q104</f>
        <v>4.4.90.39</v>
      </c>
      <c r="R104" s="42">
        <f>'[1]1º TRIMESTRE'!R104+2350144.5</f>
        <v>23356931.810000002</v>
      </c>
      <c r="S104" s="42">
        <v>3219846.21</v>
      </c>
      <c r="T104" s="42">
        <f>'[1]1º TRIMESTRE'!T104+S104</f>
        <v>3219846.21</v>
      </c>
      <c r="U104" s="42">
        <f>'[1]1º TRIMESTRE'!U104+S104</f>
        <v>23283439.84</v>
      </c>
      <c r="V104" s="37" t="str">
        <f>'[1]1º TRIMESTRE'!V104</f>
        <v>andamento</v>
      </c>
    </row>
    <row r="105" spans="1:22" ht="45" x14ac:dyDescent="0.25">
      <c r="A105" s="35" t="str">
        <f>'[1]1º TRIMESTRE'!A105</f>
        <v>TOMADA DE PREÇOS Licitação: 004/2023</v>
      </c>
      <c r="B105" s="35" t="str">
        <f>'[1]1º TRIMESTRE'!B105</f>
        <v>CONTRATAÇÃO DE EMPRESA DE ENGENHARIA CIVIL PARA IMPLANTAÇÃODE ECOESTAÇÃO NA RPA 2 - LOCALIZADO NA RUA URIEL DE HOLANDA, S/N LINHA DO TIRO E DE ECOESTAÇÃO NA RPA 3 - LOCALIZADA NA RUA DA FLORES S/N GUABIRABA - RECIFE -PE</v>
      </c>
      <c r="C105" s="36">
        <v>0</v>
      </c>
      <c r="D105" s="37">
        <v>0</v>
      </c>
      <c r="E105" s="37">
        <v>0</v>
      </c>
      <c r="F105" s="37">
        <v>0</v>
      </c>
      <c r="G105" s="38" t="str">
        <f>'[1]1º TRIMESTRE'!G105</f>
        <v>34.071.337/0001-01</v>
      </c>
      <c r="H105" s="38" t="str">
        <f>'[1]1º TRIMESTRE'!H105</f>
        <v>FONTE SOUTO CONSTRUÇÕES EIRELI</v>
      </c>
      <c r="I105" s="37" t="str">
        <f>'[1]1º TRIMESTRE'!I105</f>
        <v>6-071/23</v>
      </c>
      <c r="J105" s="39">
        <f>'[1]1º TRIMESTRE'!J105</f>
        <v>45260</v>
      </c>
      <c r="K105" s="40">
        <f>'[1]1º TRIMESTRE'!K105</f>
        <v>210</v>
      </c>
      <c r="L105" s="37">
        <f>'[1]1º TRIMESTRE'!L105</f>
        <v>1386439.44</v>
      </c>
      <c r="M105" s="39">
        <f t="shared" si="1"/>
        <v>45620</v>
      </c>
      <c r="N105" s="41">
        <f>'[1]1º TRIMESTRE'!N105+150</f>
        <v>150</v>
      </c>
      <c r="O105" s="42">
        <f>'[1]1º TRIMESTRE'!O105+33665.59</f>
        <v>33665.589999999997</v>
      </c>
      <c r="P105" s="37">
        <f>'[1]1º TRIMESTRE'!P105</f>
        <v>0</v>
      </c>
      <c r="Q105" s="37" t="str">
        <f>'[1]1º TRIMESTRE'!Q105</f>
        <v>4.4.90.39</v>
      </c>
      <c r="R105" s="42">
        <f>'[1]1º TRIMESTRE'!R105+398968.2</f>
        <v>460047.48</v>
      </c>
      <c r="S105" s="42">
        <v>143413.82999999999</v>
      </c>
      <c r="T105" s="42">
        <f>'[1]1º TRIMESTRE'!T105+S105</f>
        <v>204493.11</v>
      </c>
      <c r="U105" s="42">
        <f>'[1]1º TRIMESTRE'!U105+S105</f>
        <v>204493.11</v>
      </c>
      <c r="V105" s="37" t="str">
        <f>'[1]1º TRIMESTRE'!V105</f>
        <v>andamento</v>
      </c>
    </row>
    <row r="106" spans="1:22" ht="56.25" x14ac:dyDescent="0.25">
      <c r="A106" s="35" t="str">
        <f>'[1]1º TRIMESTRE'!A106</f>
        <v>CONCORRÊNCIA Licitação: 019/2022</v>
      </c>
      <c r="B106" s="35" t="str">
        <f>'[1]1º TRIMESTRE'!B106</f>
        <v>SERVIÇOS DE MANUTENÇÃO PREVENTIVA (IMPLANTANÇÃO, REQUALIFICAÇÃO E/OU RECAPEAMENTO DE VIAS) EM CONCRETO BETUMINOSO USINADO À QUENTE - CBUQ DO SISTEMA VIÁRIO DA CIDADE DO RECIFE. LOTE IV - RPA 06</v>
      </c>
      <c r="C106" s="36" t="s">
        <v>45</v>
      </c>
      <c r="D106" s="37" t="s">
        <v>46</v>
      </c>
      <c r="E106" s="37">
        <v>45000000</v>
      </c>
      <c r="F106" s="37">
        <v>5000000</v>
      </c>
      <c r="G106" s="38" t="str">
        <f>'[1]1º TRIMESTRE'!G106</f>
        <v>40.882.060/0001-08</v>
      </c>
      <c r="H106" s="38" t="str">
        <f>'[1]1º TRIMESTRE'!H106</f>
        <v>LIDERMAC CONSTRUCOES E EQUIPAMENTOS LTDA</v>
      </c>
      <c r="I106" s="37" t="str">
        <f>'[1]1º TRIMESTRE'!I106</f>
        <v>6-072/22</v>
      </c>
      <c r="J106" s="39">
        <f>'[1]1º TRIMESTRE'!J106</f>
        <v>44861</v>
      </c>
      <c r="K106" s="40">
        <f>'[1]1º TRIMESTRE'!K106</f>
        <v>760</v>
      </c>
      <c r="L106" s="37">
        <f>'[1]1º TRIMESTRE'!L106</f>
        <v>51009419.109999999</v>
      </c>
      <c r="M106" s="39">
        <f t="shared" si="1"/>
        <v>45621</v>
      </c>
      <c r="N106" s="41">
        <f>'[1]1º TRIMESTRE'!N106</f>
        <v>0</v>
      </c>
      <c r="O106" s="42">
        <f>'[1]1º TRIMESTRE'!O106+4607351.6</f>
        <v>4607351.5999999996</v>
      </c>
      <c r="P106" s="37">
        <f>'[1]1º TRIMESTRE'!P106</f>
        <v>1742220.18</v>
      </c>
      <c r="Q106" s="37" t="str">
        <f>'[1]1º TRIMESTRE'!Q106</f>
        <v>4.4.90.39</v>
      </c>
      <c r="R106" s="42">
        <f>'[1]1º TRIMESTRE'!R106+1777859.02</f>
        <v>16557761.93</v>
      </c>
      <c r="S106" s="42">
        <v>1777859.02</v>
      </c>
      <c r="T106" s="42">
        <f>'[1]1º TRIMESTRE'!T106+S106</f>
        <v>1824725.53</v>
      </c>
      <c r="U106" s="42">
        <f>'[1]1º TRIMESTRE'!U106+S106</f>
        <v>16557761.930000002</v>
      </c>
      <c r="V106" s="37" t="str">
        <f>'[1]1º TRIMESTRE'!V106</f>
        <v>andamento</v>
      </c>
    </row>
    <row r="107" spans="1:22" ht="56.25" x14ac:dyDescent="0.25">
      <c r="A107" s="35" t="str">
        <f>'[1]1º TRIMESTRE'!A107</f>
        <v>CONCORRÊNCIA Licitação: 020/2022</v>
      </c>
      <c r="B107" s="35" t="str">
        <f>'[1]1º TRIMESTRE'!B107</f>
        <v>SERVIÇOS DE MANUTENÇÃO CORRETIVA DE VIAS NÃO PAVIMENTADAS DO SISTEMA VIÁRIO DA CIDADE DO RECIFE/PE</v>
      </c>
      <c r="C107" s="36">
        <v>0</v>
      </c>
      <c r="D107" s="37">
        <v>0</v>
      </c>
      <c r="E107" s="37">
        <v>0</v>
      </c>
      <c r="F107" s="37">
        <v>0</v>
      </c>
      <c r="G107" s="38" t="str">
        <f>'[1]1º TRIMESTRE'!G107</f>
        <v>40.884.405/0001-54</v>
      </c>
      <c r="H107" s="38" t="str">
        <f>'[1]1º TRIMESTRE'!H107</f>
        <v>LOQUIPE LOCACAO DE EQUIPAMENTOS E MAO DE OBRA LTDA</v>
      </c>
      <c r="I107" s="37" t="str">
        <f>'[1]1º TRIMESTRE'!I107</f>
        <v>6-073/22</v>
      </c>
      <c r="J107" s="39">
        <f>'[1]1º TRIMESTRE'!J107</f>
        <v>44869</v>
      </c>
      <c r="K107" s="40">
        <f>'[1]1º TRIMESTRE'!K107</f>
        <v>790</v>
      </c>
      <c r="L107" s="37">
        <f>'[1]1º TRIMESTRE'!L107</f>
        <v>3957846.15</v>
      </c>
      <c r="M107" s="39">
        <f t="shared" si="1"/>
        <v>45659</v>
      </c>
      <c r="N107" s="41">
        <f>'[1]1º TRIMESTRE'!N107</f>
        <v>0</v>
      </c>
      <c r="O107" s="42">
        <f>'[1]1º TRIMESTRE'!O107</f>
        <v>41386.65</v>
      </c>
      <c r="P107" s="37">
        <f>'[1]1º TRIMESTRE'!P107</f>
        <v>124052.67</v>
      </c>
      <c r="Q107" s="37" t="str">
        <f>'[1]1º TRIMESTRE'!Q107</f>
        <v>3.3.90.39</v>
      </c>
      <c r="R107" s="42">
        <f>'[1]1º TRIMESTRE'!R107+375474.91</f>
        <v>2091027.5399999998</v>
      </c>
      <c r="S107" s="42">
        <v>375474.91</v>
      </c>
      <c r="T107" s="42">
        <f>'[1]1º TRIMESTRE'!T107+S107</f>
        <v>652572.54</v>
      </c>
      <c r="U107" s="42">
        <f>'[1]1º TRIMESTRE'!U107+S107</f>
        <v>2087509.72</v>
      </c>
      <c r="V107" s="37" t="str">
        <f>'[1]1º TRIMESTRE'!V107</f>
        <v>andamento</v>
      </c>
    </row>
    <row r="108" spans="1:22" ht="56.25" x14ac:dyDescent="0.25">
      <c r="A108" s="35" t="str">
        <f>'[1]1º TRIMESTRE'!A108</f>
        <v>TOMADA DE PREÇOS Licitação: 006/2022</v>
      </c>
      <c r="B108" s="35" t="str">
        <f>'[1]1º TRIMESTRE'!B108</f>
        <v>SERVIÇOS DE MANUTENÇÃO PREVENTIVA E CORRETIVA EM FONTES LUMINOSAS PÚBLICAS LOCALIZADAS NA CIDADE DO RECIFE</v>
      </c>
      <c r="C108" s="36">
        <v>0</v>
      </c>
      <c r="D108" s="37">
        <v>0</v>
      </c>
      <c r="E108" s="37">
        <v>0</v>
      </c>
      <c r="F108" s="37">
        <v>0</v>
      </c>
      <c r="G108" s="38" t="str">
        <f>'[1]1º TRIMESTRE'!G108</f>
        <v>06.157.352/0001-31</v>
      </c>
      <c r="H108" s="38" t="str">
        <f>'[1]1º TRIMESTRE'!H108</f>
        <v>JAIR SOUZA DE LIMA SERVICOS E CONSTRUCOES LTDA</v>
      </c>
      <c r="I108" s="37" t="str">
        <f>'[1]1º TRIMESTRE'!I108</f>
        <v>6-074/22</v>
      </c>
      <c r="J108" s="39">
        <f>'[1]1º TRIMESTRE'!J108</f>
        <v>44896</v>
      </c>
      <c r="K108" s="40">
        <f>'[1]1º TRIMESTRE'!K108</f>
        <v>790</v>
      </c>
      <c r="L108" s="37">
        <f>'[1]1º TRIMESTRE'!L108</f>
        <v>1292921.04</v>
      </c>
      <c r="M108" s="39">
        <f t="shared" si="1"/>
        <v>45686</v>
      </c>
      <c r="N108" s="41">
        <f>'[1]1º TRIMESTRE'!N108</f>
        <v>0</v>
      </c>
      <c r="O108" s="42">
        <f>'[1]1º TRIMESTRE'!O108</f>
        <v>198732.58</v>
      </c>
      <c r="P108" s="37">
        <f>'[1]1º TRIMESTRE'!P108</f>
        <v>0</v>
      </c>
      <c r="Q108" s="37" t="str">
        <f>'[1]1º TRIMESTRE'!Q108</f>
        <v>3.3.90.39</v>
      </c>
      <c r="R108" s="42">
        <f>'[1]1º TRIMESTRE'!R108+124821.47</f>
        <v>1260950.03</v>
      </c>
      <c r="S108" s="42">
        <v>124821.47</v>
      </c>
      <c r="T108" s="42">
        <f>'[1]1º TRIMESTRE'!T108+S108</f>
        <v>271048.27</v>
      </c>
      <c r="U108" s="42">
        <f>'[1]1º TRIMESTRE'!U108+S108</f>
        <v>1260950.03</v>
      </c>
      <c r="V108" s="37" t="str">
        <f>'[1]1º TRIMESTRE'!V108</f>
        <v>andamento</v>
      </c>
    </row>
    <row r="109" spans="1:22" ht="45" x14ac:dyDescent="0.25">
      <c r="A109" s="35" t="str">
        <f>'[1]1º TRIMESTRE'!A109</f>
        <v>TOMADA DE PREÇOS Licitação: 005/2023</v>
      </c>
      <c r="B109" s="35" t="str">
        <f>'[1]1º TRIMESTRE'!B109</f>
        <v>EXECUÇÃO DOS SERVIÇOS DE IMPLANTAÇÃO DA REDE DE DRENAGEM DE ÁGUAS PLUVIAIS E PAVIMENTAÇÃO DA RUA 22 DE AGOSTO - IBURA, INCLUINDO CONSTRUÇÃO DE ESCADARIA E IMPLANTAÇÃO DA PRAÇA CRIANÇADA NA RUA</v>
      </c>
      <c r="C109" s="36" t="s">
        <v>35</v>
      </c>
      <c r="D109" s="37" t="s">
        <v>36</v>
      </c>
      <c r="E109" s="37">
        <v>0</v>
      </c>
      <c r="F109" s="37">
        <v>0</v>
      </c>
      <c r="G109" s="38" t="str">
        <f>'[1]1º TRIMESTRE'!G109</f>
        <v>08.135.535/0001-81</v>
      </c>
      <c r="H109" s="38" t="str">
        <f>'[1]1º TRIMESTRE'!H109</f>
        <v>CONSTRUTORA FJ LTDA</v>
      </c>
      <c r="I109" s="37" t="str">
        <f>'[1]1º TRIMESTRE'!I109</f>
        <v>6-074/23</v>
      </c>
      <c r="J109" s="39">
        <f>'[1]1º TRIMESTRE'!J109</f>
        <v>45260</v>
      </c>
      <c r="K109" s="40">
        <f>'[1]1º TRIMESTRE'!K109</f>
        <v>180</v>
      </c>
      <c r="L109" s="37">
        <f>'[1]1º TRIMESTRE'!L109</f>
        <v>2319219.36</v>
      </c>
      <c r="M109" s="39">
        <f t="shared" si="1"/>
        <v>45530</v>
      </c>
      <c r="N109" s="41">
        <f>'[1]1º TRIMESTRE'!N109+90</f>
        <v>90</v>
      </c>
      <c r="O109" s="42">
        <f>'[1]1º TRIMESTRE'!O109</f>
        <v>0</v>
      </c>
      <c r="P109" s="37">
        <f>'[1]1º TRIMESTRE'!P109</f>
        <v>0</v>
      </c>
      <c r="Q109" s="37" t="str">
        <f>'[1]1º TRIMESTRE'!Q109</f>
        <v>4.4.90.39</v>
      </c>
      <c r="R109" s="42">
        <f>'[1]1º TRIMESTRE'!R109+676229.49</f>
        <v>1875824.8299999998</v>
      </c>
      <c r="S109" s="42">
        <v>676229.49</v>
      </c>
      <c r="T109" s="42">
        <f>'[1]1º TRIMESTRE'!T109+S109</f>
        <v>1742397.63</v>
      </c>
      <c r="U109" s="42">
        <f>'[1]1º TRIMESTRE'!U109+S109</f>
        <v>1875824.8299999998</v>
      </c>
      <c r="V109" s="37" t="str">
        <f>'[1]1º TRIMESTRE'!V109</f>
        <v>andamento</v>
      </c>
    </row>
    <row r="110" spans="1:22" ht="33.75" x14ac:dyDescent="0.25">
      <c r="A110" s="35" t="str">
        <f>'[1]1º TRIMESTRE'!A110</f>
        <v>CONCORRÊNCIA Licitação: 008/2022</v>
      </c>
      <c r="B110" s="35" t="str">
        <f>'[1]1º TRIMESTRE'!B110</f>
        <v>SERVIÇOS DE RECUPERAÇÃO ESTRUTURAL DA PONTE SANTA ISABEL, QUE LIGA O BAIRRO DA BOA VISTA AO BAIRRO SANTO ANTÔNIO NA CIDADE DO RECIFE/PE (PONTE PRINCESA ISABEL)</v>
      </c>
      <c r="C110" s="36" t="s">
        <v>35</v>
      </c>
      <c r="D110" s="37" t="s">
        <v>36</v>
      </c>
      <c r="E110" s="37">
        <v>0</v>
      </c>
      <c r="F110" s="37">
        <v>0</v>
      </c>
      <c r="G110" s="38" t="str">
        <f>'[1]1º TRIMESTRE'!G110</f>
        <v>08.064.693/0001-98</v>
      </c>
      <c r="H110" s="38" t="str">
        <f>'[1]1º TRIMESTRE'!H110</f>
        <v>CONCREPOXI ENGENHARIA LTDA</v>
      </c>
      <c r="I110" s="37" t="str">
        <f>'[1]1º TRIMESTRE'!I110</f>
        <v>6-075/22</v>
      </c>
      <c r="J110" s="39">
        <f>'[1]1º TRIMESTRE'!J110</f>
        <v>44910</v>
      </c>
      <c r="K110" s="40">
        <f>'[1]1º TRIMESTRE'!K110</f>
        <v>645</v>
      </c>
      <c r="L110" s="37">
        <f>'[1]1º TRIMESTRE'!L110</f>
        <v>10636776.85</v>
      </c>
      <c r="M110" s="39">
        <f t="shared" si="1"/>
        <v>45645</v>
      </c>
      <c r="N110" s="41">
        <f>'[1]1º TRIMESTRE'!N110+90</f>
        <v>90</v>
      </c>
      <c r="O110" s="42">
        <f>'[1]1º TRIMESTRE'!O110</f>
        <v>1764049.88</v>
      </c>
      <c r="P110" s="37">
        <f>'[1]1º TRIMESTRE'!P110</f>
        <v>-503261.39</v>
      </c>
      <c r="Q110" s="37" t="str">
        <f>'[1]1º TRIMESTRE'!Q110</f>
        <v>4.4.90.39</v>
      </c>
      <c r="R110" s="42">
        <f>'[1]1º TRIMESTRE'!R110+2548944.66</f>
        <v>8640760.2799999993</v>
      </c>
      <c r="S110" s="42">
        <v>2909586.97</v>
      </c>
      <c r="T110" s="42">
        <f>'[1]1º TRIMESTRE'!T110+S110</f>
        <v>4347901.75</v>
      </c>
      <c r="U110" s="42">
        <f>'[1]1º TRIMESTRE'!U110+S110</f>
        <v>8640759.5600000005</v>
      </c>
      <c r="V110" s="37" t="str">
        <f>'[1]1º TRIMESTRE'!V110</f>
        <v>andamento</v>
      </c>
    </row>
    <row r="111" spans="1:22" ht="45" x14ac:dyDescent="0.25">
      <c r="A111" s="35" t="str">
        <f>'[1]1º TRIMESTRE'!A111</f>
        <v>PREGÃO ELETRÔNICO Licitação: 029/2023</v>
      </c>
      <c r="B111" s="35" t="str">
        <f>'[1]1º TRIMESTRE'!B111</f>
        <v>SERVIÇOS DE OPERAÇÃO, AUTOMAÇÃO E MANUTENÇÃO ELÉTRICA E MECÂNICA DAS ESTAÇÕES DE BOMBEAMENTO E COMPORTAS DA CIDADE DO RECIFE. (15.008172/2023-67)</v>
      </c>
      <c r="C111" s="36">
        <v>0</v>
      </c>
      <c r="D111" s="37">
        <v>0</v>
      </c>
      <c r="E111" s="37">
        <v>0</v>
      </c>
      <c r="F111" s="37">
        <v>0</v>
      </c>
      <c r="G111" s="38" t="str">
        <f>'[1]1º TRIMESTRE'!G111</f>
        <v>14.733.583/0001-74</v>
      </c>
      <c r="H111" s="38" t="str">
        <f>'[1]1º TRIMESTRE'!H111</f>
        <v>PROJETAR CONSTRUÇÕES E PROJETOS EIRELI -ME</v>
      </c>
      <c r="I111" s="37" t="str">
        <f>'[1]1º TRIMESTRE'!I111</f>
        <v>6-075/23</v>
      </c>
      <c r="J111" s="39">
        <f>'[1]1º TRIMESTRE'!J111</f>
        <v>45273</v>
      </c>
      <c r="K111" s="40">
        <f>'[1]1º TRIMESTRE'!K111</f>
        <v>1155</v>
      </c>
      <c r="L111" s="37">
        <f>'[1]1º TRIMESTRE'!L111</f>
        <v>5749498.3099999996</v>
      </c>
      <c r="M111" s="39">
        <f t="shared" si="1"/>
        <v>46428</v>
      </c>
      <c r="N111" s="41">
        <f>'[1]1º TRIMESTRE'!N111</f>
        <v>0</v>
      </c>
      <c r="O111" s="42">
        <f>'[1]1º TRIMESTRE'!O111</f>
        <v>0</v>
      </c>
      <c r="P111" s="37">
        <f>'[1]1º TRIMESTRE'!P111</f>
        <v>0</v>
      </c>
      <c r="Q111" s="37" t="str">
        <f>'[1]1º TRIMESTRE'!Q111</f>
        <v>3.3.90.39</v>
      </c>
      <c r="R111" s="42">
        <f>'[1]1º TRIMESTRE'!R111+247744.15</f>
        <v>326045.65000000002</v>
      </c>
      <c r="S111" s="42">
        <v>326045.65000000002</v>
      </c>
      <c r="T111" s="42">
        <f>'[1]1º TRIMESTRE'!T111+S111</f>
        <v>326045.65000000002</v>
      </c>
      <c r="U111" s="42">
        <f>'[1]1º TRIMESTRE'!U111+S111</f>
        <v>326045.65000000002</v>
      </c>
      <c r="V111" s="37" t="str">
        <f>'[1]1º TRIMESTRE'!V111</f>
        <v>andamento</v>
      </c>
    </row>
    <row r="112" spans="1:22" ht="56.25" x14ac:dyDescent="0.25">
      <c r="A112" s="35" t="str">
        <f>'[1]1º TRIMESTRE'!A112</f>
        <v>CONCORRÊNCIA Licitação: 015/2022</v>
      </c>
      <c r="B112" s="35" t="str">
        <f>'[1]1º TRIMESTRE'!B112</f>
        <v>CONTRATAÇÃO DE EMPRESA DE ENGENHARIA ESPECIALIZADA EM ILUMINAÇÃO PÚBLICA, PARA FORNECIMENTO E INSTALAÇÃO DE LUMINÁRIA COM TECNOLOGIA LED E REDE ELÉTRICA, PARA ILUMINAÇÃO PEDONAL DO POLÍGONO VIÁRIO DA AGAMENON MAGALHÃES, RECIFE-PE</v>
      </c>
      <c r="C112" s="36">
        <v>0</v>
      </c>
      <c r="D112" s="37">
        <v>0</v>
      </c>
      <c r="E112" s="37">
        <v>0</v>
      </c>
      <c r="F112" s="37">
        <v>0</v>
      </c>
      <c r="G112" s="38" t="str">
        <f>'[1]1º TRIMESTRE'!G112</f>
        <v>03.834.750/0001-57</v>
      </c>
      <c r="H112" s="38" t="str">
        <f>'[1]1º TRIMESTRE'!H112</f>
        <v>EIP SERVICOS DE ILUMINACAO LTDA</v>
      </c>
      <c r="I112" s="37" t="str">
        <f>'[1]1º TRIMESTRE'!I112</f>
        <v>6-076/22</v>
      </c>
      <c r="J112" s="39">
        <f>'[1]1º TRIMESTRE'!J112</f>
        <v>44916</v>
      </c>
      <c r="K112" s="40">
        <f>'[1]1º TRIMESTRE'!K112</f>
        <v>790</v>
      </c>
      <c r="L112" s="37">
        <f>'[1]1º TRIMESTRE'!L112</f>
        <v>12692831.300000001</v>
      </c>
      <c r="M112" s="39">
        <f t="shared" si="1"/>
        <v>45706</v>
      </c>
      <c r="N112" s="41">
        <f>'[1]1º TRIMESTRE'!N112</f>
        <v>0</v>
      </c>
      <c r="O112" s="42">
        <f>'[1]1º TRIMESTRE'!O112</f>
        <v>0</v>
      </c>
      <c r="P112" s="37">
        <f>'[1]1º TRIMESTRE'!P112</f>
        <v>447358.2</v>
      </c>
      <c r="Q112" s="37" t="str">
        <f>'[1]1º TRIMESTRE'!Q112</f>
        <v>4.4.90.39</v>
      </c>
      <c r="R112" s="42">
        <f>'[1]1º TRIMESTRE'!R112+256528.81</f>
        <v>8440658.7799999993</v>
      </c>
      <c r="S112" s="42">
        <v>256528.81</v>
      </c>
      <c r="T112" s="42">
        <f>'[1]1º TRIMESTRE'!T112+S112</f>
        <v>1972018.06</v>
      </c>
      <c r="U112" s="42">
        <f>'[1]1º TRIMESTRE'!U112+S112</f>
        <v>8368787.3699999992</v>
      </c>
      <c r="V112" s="37" t="str">
        <f>'[1]1º TRIMESTRE'!V112</f>
        <v>andamento</v>
      </c>
    </row>
    <row r="113" spans="1:22" ht="45" x14ac:dyDescent="0.25">
      <c r="A113" s="35" t="str">
        <f>'[1]1º TRIMESTRE'!A113</f>
        <v>CONCORRÊNCIA Licitação: 021/2023</v>
      </c>
      <c r="B113" s="35" t="str">
        <f>'[1]1º TRIMESTRE'!B113</f>
        <v>CONTRATAÇÃO DE EMP. DE ENGENHARIA PARA EXECUÇÃO DE OBRAS DE REQUALIFICAÇÃO DA DRENAGEM E PAV. DA AVENIDA MARIO MELO, NO TRECHO COMPREENDIDO ENTRE AS RUAS DO HOSPÍCIO E RUA DA AURORA, SANTO AMARO. RECIFE - PE</v>
      </c>
      <c r="C113" s="36" t="s">
        <v>35</v>
      </c>
      <c r="D113" s="37" t="s">
        <v>36</v>
      </c>
      <c r="E113" s="37">
        <v>0</v>
      </c>
      <c r="F113" s="37">
        <v>0</v>
      </c>
      <c r="G113" s="38" t="str">
        <f>'[1]1º TRIMESTRE'!G113</f>
        <v>07.157.925/0001-90</v>
      </c>
      <c r="H113" s="38" t="str">
        <f>'[1]1º TRIMESTRE'!H113</f>
        <v>WB CONSTRUTORA LTDA</v>
      </c>
      <c r="I113" s="37" t="str">
        <f>'[1]1º TRIMESTRE'!I113</f>
        <v>6-076/23</v>
      </c>
      <c r="J113" s="39">
        <f>'[1]1º TRIMESTRE'!J113</f>
        <v>45275</v>
      </c>
      <c r="K113" s="40">
        <f>'[1]1º TRIMESTRE'!K113</f>
        <v>270</v>
      </c>
      <c r="L113" s="37">
        <f>'[1]1º TRIMESTRE'!L113</f>
        <v>5620447.9500000002</v>
      </c>
      <c r="M113" s="39">
        <f t="shared" si="1"/>
        <v>45545</v>
      </c>
      <c r="N113" s="41">
        <f>'[1]1º TRIMESTRE'!N113</f>
        <v>0</v>
      </c>
      <c r="O113" s="42">
        <f>'[1]1º TRIMESTRE'!O113</f>
        <v>0</v>
      </c>
      <c r="P113" s="37">
        <f>'[1]1º TRIMESTRE'!P113</f>
        <v>0</v>
      </c>
      <c r="Q113" s="37" t="str">
        <f>'[1]1º TRIMESTRE'!Q113</f>
        <v>4.4.90.39</v>
      </c>
      <c r="R113" s="42">
        <f>'[1]1º TRIMESTRE'!R113+1676817.87</f>
        <v>1676817.87</v>
      </c>
      <c r="S113" s="42">
        <v>1195519.26</v>
      </c>
      <c r="T113" s="42">
        <f>'[1]1º TRIMESTRE'!T113+S113</f>
        <v>1195519.26</v>
      </c>
      <c r="U113" s="42">
        <f>'[1]1º TRIMESTRE'!U113+S113</f>
        <v>1195519.26</v>
      </c>
      <c r="V113" s="37" t="str">
        <f>'[1]1º TRIMESTRE'!V113</f>
        <v>andamento</v>
      </c>
    </row>
    <row r="114" spans="1:22" ht="33.75" x14ac:dyDescent="0.25">
      <c r="A114" s="35" t="str">
        <f>'[1]1º TRIMESTRE'!A114</f>
        <v>TOMADA DE PREÇOS Licitação: 005/2022</v>
      </c>
      <c r="B114" s="35" t="str">
        <f>'[1]1º TRIMESTRE'!B114</f>
        <v>SERVIÇOS DE MANUTENÇÃO E RECUPERAÇÃO AMBIENTAL DO ATERRO CONTROLADO DA MURIBECA</v>
      </c>
      <c r="C114" s="36">
        <v>0</v>
      </c>
      <c r="D114" s="37">
        <v>0</v>
      </c>
      <c r="E114" s="37">
        <v>0</v>
      </c>
      <c r="F114" s="37">
        <v>0</v>
      </c>
      <c r="G114" s="38" t="str">
        <f>'[1]1º TRIMESTRE'!G114</f>
        <v>10.811.370/0001-62</v>
      </c>
      <c r="H114" s="38" t="str">
        <f>'[1]1º TRIMESTRE'!H114</f>
        <v>GUERRA CONSTRUCOES LTDA</v>
      </c>
      <c r="I114" s="37" t="str">
        <f>'[1]1º TRIMESTRE'!I114</f>
        <v>6-077/22</v>
      </c>
      <c r="J114" s="39">
        <f>'[1]1º TRIMESTRE'!J114</f>
        <v>44916</v>
      </c>
      <c r="K114" s="40">
        <f>'[1]1º TRIMESTRE'!K114</f>
        <v>790</v>
      </c>
      <c r="L114" s="37">
        <f>'[1]1º TRIMESTRE'!L114</f>
        <v>1116122.19</v>
      </c>
      <c r="M114" s="39">
        <f t="shared" si="1"/>
        <v>45706</v>
      </c>
      <c r="N114" s="41">
        <f>'[1]1º TRIMESTRE'!N114</f>
        <v>0</v>
      </c>
      <c r="O114" s="42">
        <f>'[1]1º TRIMESTRE'!O114+244596.37</f>
        <v>244596.37</v>
      </c>
      <c r="P114" s="37">
        <f>'[1]1º TRIMESTRE'!P114</f>
        <v>0</v>
      </c>
      <c r="Q114" s="37" t="str">
        <f>'[1]1º TRIMESTRE'!Q114</f>
        <v>3.3.90.39</v>
      </c>
      <c r="R114" s="42">
        <f>'[1]1º TRIMESTRE'!R114+154600.01</f>
        <v>857041.41</v>
      </c>
      <c r="S114" s="42">
        <v>154600.01</v>
      </c>
      <c r="T114" s="42">
        <f>'[1]1º TRIMESTRE'!T114+S114</f>
        <v>251667.29</v>
      </c>
      <c r="U114" s="42">
        <f>'[1]1º TRIMESTRE'!U114+S114</f>
        <v>857041.41</v>
      </c>
      <c r="V114" s="37" t="str">
        <f>'[1]1º TRIMESTRE'!V114</f>
        <v>andamento</v>
      </c>
    </row>
    <row r="115" spans="1:22" ht="45" x14ac:dyDescent="0.25">
      <c r="A115" s="35" t="str">
        <f>'[1]1º TRIMESTRE'!A115</f>
        <v>CONCORRÊNCIA Licitação: 019/2023</v>
      </c>
      <c r="B115" s="35" t="str">
        <f>'[1]1º TRIMESTRE'!B115</f>
        <v>CONSERVAÇÃO PREVENTIVA E CORRETIVA DE PARQUES, PRAÇAS, JARDINS E ÁREAS VERDES PÚBLICAS LOCALIZADAS DA CIDADE DO RECIFE. LOTE I</v>
      </c>
      <c r="C115" s="36">
        <v>0</v>
      </c>
      <c r="D115" s="37">
        <v>0</v>
      </c>
      <c r="E115" s="37">
        <v>0</v>
      </c>
      <c r="F115" s="37">
        <v>0</v>
      </c>
      <c r="G115" s="38" t="str">
        <f>'[1]1º TRIMESTRE'!G115</f>
        <v>08.963.533/0001-80</v>
      </c>
      <c r="H115" s="38" t="str">
        <f>'[1]1º TRIMESTRE'!H115</f>
        <v>FAR COMERCIO E SERVIÇOS PAISAGISTICOS LTDA</v>
      </c>
      <c r="I115" s="37" t="str">
        <f>'[1]1º TRIMESTRE'!I115</f>
        <v>6-077/23</v>
      </c>
      <c r="J115" s="39">
        <f>'[1]1º TRIMESTRE'!J115</f>
        <v>45264</v>
      </c>
      <c r="K115" s="40">
        <f>'[1]1º TRIMESTRE'!K115</f>
        <v>790</v>
      </c>
      <c r="L115" s="37">
        <f>'[1]1º TRIMESTRE'!L115</f>
        <v>14874758.91</v>
      </c>
      <c r="M115" s="39">
        <f t="shared" si="1"/>
        <v>46054</v>
      </c>
      <c r="N115" s="41">
        <f>'[1]1º TRIMESTRE'!N115</f>
        <v>0</v>
      </c>
      <c r="O115" s="42">
        <f>'[1]1º TRIMESTRE'!O115</f>
        <v>0</v>
      </c>
      <c r="P115" s="37">
        <f>'[1]1º TRIMESTRE'!P115</f>
        <v>0</v>
      </c>
      <c r="Q115" s="37" t="str">
        <f>'[1]1º TRIMESTRE'!Q115</f>
        <v>3.3.90.39</v>
      </c>
      <c r="R115" s="42">
        <f>'[1]1º TRIMESTRE'!R115+957830.9</f>
        <v>1604909.54</v>
      </c>
      <c r="S115" s="42">
        <v>957830.9</v>
      </c>
      <c r="T115" s="42">
        <f>'[1]1º TRIMESTRE'!T115+S115</f>
        <v>1604909.54</v>
      </c>
      <c r="U115" s="42">
        <f>'[1]1º TRIMESTRE'!U115+S115</f>
        <v>1604909.54</v>
      </c>
      <c r="V115" s="37" t="str">
        <f>'[1]1º TRIMESTRE'!V115</f>
        <v>andamento</v>
      </c>
    </row>
    <row r="116" spans="1:22" ht="45" x14ac:dyDescent="0.25">
      <c r="A116" s="35" t="str">
        <f>'[1]1º TRIMESTRE'!A116</f>
        <v>CONCORRÊNCIA Licitação: 019/2023</v>
      </c>
      <c r="B116" s="35" t="str">
        <f>'[1]1º TRIMESTRE'!B116</f>
        <v>CONSERVAÇÃO PREVENTIVA E CORRETIVA DE PARQUES, PRAÇAS, JARDINS E ÁREAS VERDES PÚBLICAS LOCALIZADAS DA CIDADE DO RECIFE. LOTE II</v>
      </c>
      <c r="C116" s="36">
        <v>0</v>
      </c>
      <c r="D116" s="37">
        <v>0</v>
      </c>
      <c r="E116" s="37">
        <v>0</v>
      </c>
      <c r="F116" s="37">
        <v>0</v>
      </c>
      <c r="G116" s="38" t="str">
        <f>'[1]1º TRIMESTRE'!G116</f>
        <v>08.963.533/0001-80</v>
      </c>
      <c r="H116" s="38" t="str">
        <f>'[1]1º TRIMESTRE'!H116</f>
        <v>FAR COMERCIO E SERVIÇOS PAISAGISTICOS LTDA</v>
      </c>
      <c r="I116" s="37" t="str">
        <f>'[1]1º TRIMESTRE'!I116</f>
        <v>6-078/23</v>
      </c>
      <c r="J116" s="39">
        <f>'[1]1º TRIMESTRE'!J116</f>
        <v>45264</v>
      </c>
      <c r="K116" s="40">
        <f>'[1]1º TRIMESTRE'!K116</f>
        <v>790</v>
      </c>
      <c r="L116" s="37">
        <f>'[1]1º TRIMESTRE'!L116</f>
        <v>13262771.15</v>
      </c>
      <c r="M116" s="39">
        <f t="shared" si="1"/>
        <v>46054</v>
      </c>
      <c r="N116" s="41">
        <f>'[1]1º TRIMESTRE'!N116</f>
        <v>0</v>
      </c>
      <c r="O116" s="42">
        <f>'[1]1º TRIMESTRE'!O116</f>
        <v>0</v>
      </c>
      <c r="P116" s="37">
        <f>'[1]1º TRIMESTRE'!P116</f>
        <v>0</v>
      </c>
      <c r="Q116" s="37" t="str">
        <f>'[1]1º TRIMESTRE'!Q116</f>
        <v>3.3.90.39</v>
      </c>
      <c r="R116" s="42">
        <f>'[1]1º TRIMESTRE'!R116+1005809.27</f>
        <v>1651565.92</v>
      </c>
      <c r="S116" s="42">
        <v>668045.62</v>
      </c>
      <c r="T116" s="42">
        <f>'[1]1º TRIMESTRE'!T116+S116</f>
        <v>1313802.27</v>
      </c>
      <c r="U116" s="42">
        <f>'[1]1º TRIMESTRE'!U116+S116</f>
        <v>1313802.27</v>
      </c>
      <c r="V116" s="37" t="str">
        <f>'[1]1º TRIMESTRE'!V116</f>
        <v>andamento</v>
      </c>
    </row>
    <row r="117" spans="1:22" ht="33.75" x14ac:dyDescent="0.25">
      <c r="A117" s="35" t="str">
        <f>'[1]1º TRIMESTRE'!A117</f>
        <v>CONCORRÊNCIA Licitação: 023/2023</v>
      </c>
      <c r="B117" s="35" t="str">
        <f>'[1]1º TRIMESTRE'!B117</f>
        <v>CONSTRUÇÃO DO PARQUE JARDIM DO POÇO, LOCALIZADO NO BAIRRO DO POÇO DA PANELA - RECIFE - PE</v>
      </c>
      <c r="C117" s="36" t="s">
        <v>35</v>
      </c>
      <c r="D117" s="37" t="s">
        <v>36</v>
      </c>
      <c r="E117" s="37">
        <v>0</v>
      </c>
      <c r="F117" s="37">
        <v>0</v>
      </c>
      <c r="G117" s="38" t="str">
        <f>'[1]1º TRIMESTRE'!G117</f>
        <v>08.135.535/0001-81</v>
      </c>
      <c r="H117" s="38" t="str">
        <f>'[1]1º TRIMESTRE'!H117</f>
        <v>CONSTRUTORA FJ LTDA</v>
      </c>
      <c r="I117" s="37" t="str">
        <f>'[1]1º TRIMESTRE'!I117</f>
        <v>6-079/23</v>
      </c>
      <c r="J117" s="39">
        <f>'[1]1º TRIMESTRE'!J117</f>
        <v>45265</v>
      </c>
      <c r="K117" s="40">
        <f>'[1]1º TRIMESTRE'!K117</f>
        <v>210</v>
      </c>
      <c r="L117" s="37">
        <f>'[1]1º TRIMESTRE'!L117</f>
        <v>8496161.7599999998</v>
      </c>
      <c r="M117" s="39">
        <f t="shared" si="1"/>
        <v>45535</v>
      </c>
      <c r="N117" s="41">
        <f>'[1]1º TRIMESTRE'!N117+60</f>
        <v>60</v>
      </c>
      <c r="O117" s="42">
        <f>'[1]1º TRIMESTRE'!O117</f>
        <v>0</v>
      </c>
      <c r="P117" s="37">
        <f>'[1]1º TRIMESTRE'!P117</f>
        <v>0</v>
      </c>
      <c r="Q117" s="37" t="str">
        <f>'[1]1º TRIMESTRE'!Q117</f>
        <v>4.4.90.39</v>
      </c>
      <c r="R117" s="42">
        <f>'[1]1º TRIMESTRE'!R117+5274336.25</f>
        <v>7865559.3600000003</v>
      </c>
      <c r="S117" s="42">
        <v>5274336.25</v>
      </c>
      <c r="T117" s="42">
        <f>'[1]1º TRIMESTRE'!T117+S117</f>
        <v>7865559.3599999994</v>
      </c>
      <c r="U117" s="42">
        <f>'[1]1º TRIMESTRE'!U117+S117</f>
        <v>7865559.3599999994</v>
      </c>
      <c r="V117" s="37" t="str">
        <f>'[1]1º TRIMESTRE'!V117</f>
        <v>andamento</v>
      </c>
    </row>
    <row r="118" spans="1:22" ht="45" x14ac:dyDescent="0.25">
      <c r="A118" s="35" t="str">
        <f>'[1]1º TRIMESTRE'!A118</f>
        <v>CONCORRÊNCIA Licitação: 020/2023</v>
      </c>
      <c r="B118" s="35" t="str">
        <f>'[1]1º TRIMESTRE'!B118</f>
        <v>SERVIÇOS DE MANUTENÇÃO PREVENTIVA, IMPLANTAÇÃO, REQUALIFICAÇÃO, RECAPEAMENTO E/OU MICRORREVESTIMENTO DE VIAS EM CONCRETO BETUMINOSO USINADO Á QUENTE - CBUQ, DO SISTEMA VIÁRIO DA CIDADE DO RECIFE. LOTE I - RPA 1</v>
      </c>
      <c r="C118" s="36">
        <v>0</v>
      </c>
      <c r="D118" s="37">
        <v>0</v>
      </c>
      <c r="E118" s="37">
        <v>0</v>
      </c>
      <c r="F118" s="37">
        <v>0</v>
      </c>
      <c r="G118" s="38" t="str">
        <f>'[1]1º TRIMESTRE'!G118</f>
        <v>03.006.548/0001-37</v>
      </c>
      <c r="H118" s="38" t="str">
        <f>'[1]1º TRIMESTRE'!H118</f>
        <v>COSAMPA PROJETOS E CONSTRUCOES LTDA</v>
      </c>
      <c r="I118" s="37" t="str">
        <f>'[1]1º TRIMESTRE'!I118</f>
        <v>6-080/23</v>
      </c>
      <c r="J118" s="39">
        <f>'[1]1º TRIMESTRE'!J118</f>
        <v>45261</v>
      </c>
      <c r="K118" s="40">
        <f>'[1]1º TRIMESTRE'!K118</f>
        <v>365</v>
      </c>
      <c r="L118" s="37">
        <f>'[1]1º TRIMESTRE'!L118</f>
        <v>32777137.780000001</v>
      </c>
      <c r="M118" s="39">
        <f t="shared" si="1"/>
        <v>45626</v>
      </c>
      <c r="N118" s="41">
        <f>'[1]1º TRIMESTRE'!N118</f>
        <v>0</v>
      </c>
      <c r="O118" s="42">
        <f>'[1]1º TRIMESTRE'!O118</f>
        <v>3952148.11</v>
      </c>
      <c r="P118" s="37">
        <f>'[1]1º TRIMESTRE'!P118</f>
        <v>0</v>
      </c>
      <c r="Q118" s="37" t="str">
        <f>'[1]1º TRIMESTRE'!Q118</f>
        <v>3.3.90.39</v>
      </c>
      <c r="R118" s="42">
        <f>'[1]1º TRIMESTRE'!R118+443544.66</f>
        <v>6546854.9100000001</v>
      </c>
      <c r="S118" s="42">
        <v>3623982.74</v>
      </c>
      <c r="T118" s="42">
        <f>'[1]1º TRIMESTRE'!T118+S118</f>
        <v>5430028.4100000001</v>
      </c>
      <c r="U118" s="42">
        <f>'[1]1º TRIMESTRE'!U118+S118</f>
        <v>5984385.4299999997</v>
      </c>
      <c r="V118" s="37" t="str">
        <f>'[1]1º TRIMESTRE'!V118</f>
        <v>andamento</v>
      </c>
    </row>
    <row r="119" spans="1:22" ht="56.25" x14ac:dyDescent="0.25">
      <c r="A119" s="35" t="str">
        <f>'[1]1º TRIMESTRE'!A119</f>
        <v>CONCORRÊNCIA Licitação: 020/2023</v>
      </c>
      <c r="B119" s="35" t="str">
        <f>'[1]1º TRIMESTRE'!B119</f>
        <v>SERVIÇOS DE MANUTENÇÃO PREVENTIVA, IMPLANTAÇÃO, REQUALIFICAÇÃO, RECAPEAMENTO E/OU MICRORREVESTIMENTO DE VIAS EM CONCRETO BETUMINOSO USINADO Á QUENTE - CBUQ, DO SISTEMA VIÁRIO DA CIDADE DO RECIFE. LOTE II</v>
      </c>
      <c r="C119" s="36">
        <v>0</v>
      </c>
      <c r="D119" s="37">
        <v>0</v>
      </c>
      <c r="E119" s="37">
        <v>0</v>
      </c>
      <c r="F119" s="37">
        <v>0</v>
      </c>
      <c r="G119" s="38" t="str">
        <f>'[1]1º TRIMESTRE'!G119</f>
        <v>00.338.885/0001-33</v>
      </c>
      <c r="H119" s="38" t="str">
        <f>'[1]1º TRIMESTRE'!H119</f>
        <v>NOVATEC CONSTRUCOES E EMPREENDIMENTOS LTDA</v>
      </c>
      <c r="I119" s="37" t="str">
        <f>'[1]1º TRIMESTRE'!I119</f>
        <v>6-081/23</v>
      </c>
      <c r="J119" s="39">
        <f>'[1]1º TRIMESTRE'!J119</f>
        <v>45267</v>
      </c>
      <c r="K119" s="40">
        <f>'[1]1º TRIMESTRE'!K119</f>
        <v>365</v>
      </c>
      <c r="L119" s="37">
        <f>'[1]1º TRIMESTRE'!L119</f>
        <v>35817540.25</v>
      </c>
      <c r="M119" s="39">
        <f t="shared" si="1"/>
        <v>45632</v>
      </c>
      <c r="N119" s="41">
        <f>'[1]1º TRIMESTRE'!N119</f>
        <v>0</v>
      </c>
      <c r="O119" s="42">
        <f>'[1]1º TRIMESTRE'!O119</f>
        <v>0</v>
      </c>
      <c r="P119" s="37">
        <f>'[1]1º TRIMESTRE'!P119</f>
        <v>0</v>
      </c>
      <c r="Q119" s="37" t="str">
        <f>'[1]1º TRIMESTRE'!Q119</f>
        <v>3.3.90.39</v>
      </c>
      <c r="R119" s="42">
        <f>'[1]1º TRIMESTRE'!R119+1407918.55</f>
        <v>2240204.65</v>
      </c>
      <c r="S119" s="42">
        <v>1162313</v>
      </c>
      <c r="T119" s="42">
        <f>'[1]1º TRIMESTRE'!T119+S119</f>
        <v>1646527.38</v>
      </c>
      <c r="U119" s="42">
        <f>'[1]1º TRIMESTRE'!U119+S119</f>
        <v>1646527.38</v>
      </c>
      <c r="V119" s="37" t="str">
        <f>'[1]1º TRIMESTRE'!V119</f>
        <v>andamento</v>
      </c>
    </row>
    <row r="120" spans="1:22" ht="45" x14ac:dyDescent="0.25">
      <c r="A120" s="35" t="str">
        <f>'[1]1º TRIMESTRE'!A120</f>
        <v>CONCORRÊNCIA Licitação: 020/2023</v>
      </c>
      <c r="B120" s="35" t="str">
        <f>'[1]1º TRIMESTRE'!B120</f>
        <v>SERVIÇOS DE MANUTENÇÃO PREVENTIVA, IMPLANTAÇÃO, REQUALIFICAÇÃO, RECAPEAMENTO E/OU MICRORREVESTIMENTO DE VIAS EM CONCRETO BETUMINOSO USINADO Á QUENTE, CBUQ, DO SISTEMA VIÁRIO DA CIDADE DO RECIFE.  LOTE III  -  RPA 4 E 5</v>
      </c>
      <c r="C120" s="36">
        <v>0</v>
      </c>
      <c r="D120" s="37">
        <v>0</v>
      </c>
      <c r="E120" s="37">
        <v>0</v>
      </c>
      <c r="F120" s="37">
        <v>0</v>
      </c>
      <c r="G120" s="38" t="str">
        <f>'[1]1º TRIMESTRE'!G120</f>
        <v>08.073.264/0001-87</v>
      </c>
      <c r="H120" s="38" t="str">
        <f>'[1]1º TRIMESTRE'!H120</f>
        <v>CONSTRUTORA ANDRADE GUEDES LTDA</v>
      </c>
      <c r="I120" s="37" t="str">
        <f>'[1]1º TRIMESTRE'!I120</f>
        <v>6-082/23</v>
      </c>
      <c r="J120" s="39">
        <f>'[1]1º TRIMESTRE'!J120</f>
        <v>45268</v>
      </c>
      <c r="K120" s="40">
        <f>'[1]1º TRIMESTRE'!K120</f>
        <v>365</v>
      </c>
      <c r="L120" s="37">
        <f>'[1]1º TRIMESTRE'!L120</f>
        <v>37427567.520000003</v>
      </c>
      <c r="M120" s="39">
        <f t="shared" si="1"/>
        <v>45633</v>
      </c>
      <c r="N120" s="41">
        <f>'[1]1º TRIMESTRE'!N120</f>
        <v>0</v>
      </c>
      <c r="O120" s="42">
        <f>'[1]1º TRIMESTRE'!O120</f>
        <v>0</v>
      </c>
      <c r="P120" s="37">
        <f>'[1]1º TRIMESTRE'!P120</f>
        <v>0</v>
      </c>
      <c r="Q120" s="37" t="str">
        <f>'[1]1º TRIMESTRE'!Q120</f>
        <v>3.3.90.39</v>
      </c>
      <c r="R120" s="42">
        <f>'[1]1º TRIMESTRE'!R120+1509456.67</f>
        <v>2362032.36</v>
      </c>
      <c r="S120" s="42">
        <v>1509456.67</v>
      </c>
      <c r="T120" s="42">
        <f>'[1]1º TRIMESTRE'!T120+S120</f>
        <v>2362032.36</v>
      </c>
      <c r="U120" s="42">
        <f>'[1]1º TRIMESTRE'!U120+S120</f>
        <v>2362032.36</v>
      </c>
      <c r="V120" s="37" t="str">
        <f>'[1]1º TRIMESTRE'!V120</f>
        <v>andamento</v>
      </c>
    </row>
    <row r="121" spans="1:22" ht="56.25" x14ac:dyDescent="0.25">
      <c r="A121" s="35" t="str">
        <f>'[1]1º TRIMESTRE'!A121</f>
        <v>CONCORRÊNCIA Licitação: 020/2023</v>
      </c>
      <c r="B121" s="35" t="str">
        <f>'[1]1º TRIMESTRE'!B121</f>
        <v>SERVIÇOS DE MANUTENÇÃO PREVENTIVA, IMPLANTAÇÃO, REQUALIFICAÇÃO, RECAPEAMENTO E OU MICRORREVESTIMENTO DE VIAS EM CONCRETO BETUMINOSO USINADO Á QUENTE - CBUQ, DO SISTEMA VIÁRIO DA CIDADE DO RECIFE. LOTE IV</v>
      </c>
      <c r="C121" s="36">
        <v>0</v>
      </c>
      <c r="D121" s="37">
        <v>0</v>
      </c>
      <c r="E121" s="37">
        <v>0</v>
      </c>
      <c r="F121" s="37">
        <v>0</v>
      </c>
      <c r="G121" s="38" t="str">
        <f>'[1]1º TRIMESTRE'!G121</f>
        <v>40.882.060/0001-08</v>
      </c>
      <c r="H121" s="38" t="str">
        <f>'[1]1º TRIMESTRE'!H121</f>
        <v>LIDERMAC CONSTRUCOES E EQUIPAMENTOS LTDA</v>
      </c>
      <c r="I121" s="37" t="str">
        <f>'[1]1º TRIMESTRE'!I121</f>
        <v>6-083/23</v>
      </c>
      <c r="J121" s="39">
        <f>'[1]1º TRIMESTRE'!J121</f>
        <v>45271</v>
      </c>
      <c r="K121" s="40">
        <f>'[1]1º TRIMESTRE'!K121</f>
        <v>365</v>
      </c>
      <c r="L121" s="37">
        <f>'[1]1º TRIMESTRE'!L121</f>
        <v>32379678.760000002</v>
      </c>
      <c r="M121" s="39">
        <f t="shared" si="1"/>
        <v>45636</v>
      </c>
      <c r="N121" s="41">
        <f>'[1]1º TRIMESTRE'!N121</f>
        <v>0</v>
      </c>
      <c r="O121" s="42">
        <f>'[1]1º TRIMESTRE'!O121</f>
        <v>546977.19999999995</v>
      </c>
      <c r="P121" s="37">
        <f>'[1]1º TRIMESTRE'!P121</f>
        <v>0</v>
      </c>
      <c r="Q121" s="37" t="str">
        <f>'[1]1º TRIMESTRE'!Q121</f>
        <v>3.3.90.39</v>
      </c>
      <c r="R121" s="42">
        <f>'[1]1º TRIMESTRE'!R121+7014.15</f>
        <v>2779637.81</v>
      </c>
      <c r="S121" s="42">
        <v>7014.15</v>
      </c>
      <c r="T121" s="42">
        <f>'[1]1º TRIMESTRE'!T121+S121</f>
        <v>2779637.81</v>
      </c>
      <c r="U121" s="42">
        <f>'[1]1º TRIMESTRE'!U121+S121</f>
        <v>2779637.81</v>
      </c>
      <c r="V121" s="37" t="str">
        <f>'[1]1º TRIMESTRE'!V121</f>
        <v>andamento</v>
      </c>
    </row>
    <row r="122" spans="1:22" ht="67.5" x14ac:dyDescent="0.25">
      <c r="A122" s="35" t="str">
        <f>'[1]1º TRIMESTRE'!A122</f>
        <v>TOMADA DE PREÇOS Licitação: 007/2023</v>
      </c>
      <c r="B122" s="35" t="str">
        <f>'[1]1º TRIMESTRE'!B122</f>
        <v>IMPLANTAÇÃO DA DRENAGEM PLUVIAL NA AV. MASCARENHAS DE MORAES, TRECHO COMPREENDIDO ENTRE O CRUZAMENTO COM A AV. CENTENÁRIO ALBERTO SANTOS DUMONT, ATÉ A PRAÇA MINISTRO SALGADO FILHO NO BAIRRO DO IBURA - RECIFE PE</v>
      </c>
      <c r="C122" s="36" t="s">
        <v>35</v>
      </c>
      <c r="D122" s="37" t="s">
        <v>36</v>
      </c>
      <c r="E122" s="37">
        <v>0</v>
      </c>
      <c r="F122" s="37">
        <v>0</v>
      </c>
      <c r="G122" s="38" t="str">
        <f>'[1]1º TRIMESTRE'!G122</f>
        <v>02.724.778/0001-79</v>
      </c>
      <c r="H122" s="38" t="str">
        <f>'[1]1º TRIMESTRE'!H122</f>
        <v>UNITERRA - UNIAO TERRAPLENAGEM E CONSTRUCOES LTDA</v>
      </c>
      <c r="I122" s="37" t="str">
        <f>'[1]1º TRIMESTRE'!I122</f>
        <v>6-084/23</v>
      </c>
      <c r="J122" s="39">
        <f>'[1]1º TRIMESTRE'!J122</f>
        <v>45275</v>
      </c>
      <c r="K122" s="40">
        <f>'[1]1º TRIMESTRE'!K122</f>
        <v>240</v>
      </c>
      <c r="L122" s="37">
        <f>'[1]1º TRIMESTRE'!L122</f>
        <v>1523493.08</v>
      </c>
      <c r="M122" s="39">
        <f t="shared" si="1"/>
        <v>45515</v>
      </c>
      <c r="N122" s="41">
        <f>'[1]1º TRIMESTRE'!N122</f>
        <v>0</v>
      </c>
      <c r="O122" s="42">
        <f>'[1]1º TRIMESTRE'!O122+305982.73</f>
        <v>305982.73</v>
      </c>
      <c r="P122" s="37">
        <f>'[1]1º TRIMESTRE'!P122</f>
        <v>0</v>
      </c>
      <c r="Q122" s="37" t="str">
        <f>'[1]1º TRIMESTRE'!Q122</f>
        <v>4.4.90.39</v>
      </c>
      <c r="R122" s="42">
        <f>'[1]1º TRIMESTRE'!R122+1336499.69</f>
        <v>1565201.0699999998</v>
      </c>
      <c r="S122" s="42">
        <v>1243342.96</v>
      </c>
      <c r="T122" s="42">
        <f>'[1]1º TRIMESTRE'!T122+S122</f>
        <v>1243342.96</v>
      </c>
      <c r="U122" s="42">
        <f>'[1]1º TRIMESTRE'!U122+S122</f>
        <v>1243342.96</v>
      </c>
      <c r="V122" s="37" t="str">
        <f>'[1]1º TRIMESTRE'!V122</f>
        <v>andamento</v>
      </c>
    </row>
    <row r="123" spans="1:22" ht="33.75" x14ac:dyDescent="0.25">
      <c r="A123" s="35" t="str">
        <f>'[1]1º TRIMESTRE'!A123</f>
        <v>TOMADA DE PREÇOS Licitação: 006/2023</v>
      </c>
      <c r="B123" s="35" t="str">
        <f>'[1]1º TRIMESTRE'!B123</f>
        <v>SOLUÇÃO E ELABORAÇÃO DE PROJETOS DE MITIGAÇÃO DE PONTO CRÍTICO DE ALAGAMENTO EM VÁRIAS ÁREAS E VIAS URBANAS DA CIDADE DO RECIFE</v>
      </c>
      <c r="C123" s="36" t="s">
        <v>35</v>
      </c>
      <c r="D123" s="37" t="s">
        <v>36</v>
      </c>
      <c r="E123" s="37">
        <v>0</v>
      </c>
      <c r="F123" s="37">
        <v>0</v>
      </c>
      <c r="G123" s="38" t="str">
        <f>'[1]1º TRIMESTRE'!G123</f>
        <v>02.042.399/0001-07</v>
      </c>
      <c r="H123" s="38" t="str">
        <f>'[1]1º TRIMESTRE'!H123</f>
        <v>ACQUATOOL CONSULTORIA S/S LTDA EPP</v>
      </c>
      <c r="I123" s="37" t="str">
        <f>'[1]1º TRIMESTRE'!I123</f>
        <v>6-085/23</v>
      </c>
      <c r="J123" s="39">
        <f>'[1]1º TRIMESTRE'!J123</f>
        <v>45287</v>
      </c>
      <c r="K123" s="40">
        <f>'[1]1º TRIMESTRE'!K123</f>
        <v>270</v>
      </c>
      <c r="L123" s="37">
        <f>'[1]1º TRIMESTRE'!L123</f>
        <v>911042.96</v>
      </c>
      <c r="M123" s="39">
        <f t="shared" si="1"/>
        <v>45557</v>
      </c>
      <c r="N123" s="41">
        <f>'[1]1º TRIMESTRE'!N123</f>
        <v>0</v>
      </c>
      <c r="O123" s="42">
        <f>'[1]1º TRIMESTRE'!O123</f>
        <v>0</v>
      </c>
      <c r="P123" s="37">
        <f>'[1]1º TRIMESTRE'!P123</f>
        <v>0</v>
      </c>
      <c r="Q123" s="37" t="str">
        <f>'[1]1º TRIMESTRE'!Q123</f>
        <v>4.4.90.39</v>
      </c>
      <c r="R123" s="42">
        <f>'[1]1º TRIMESTRE'!R123+18314.31</f>
        <v>18314.310000000001</v>
      </c>
      <c r="S123" s="42">
        <v>18314.310000000001</v>
      </c>
      <c r="T123" s="42">
        <f>'[1]1º TRIMESTRE'!T123+S123</f>
        <v>18314.310000000001</v>
      </c>
      <c r="U123" s="42">
        <f>'[1]1º TRIMESTRE'!U123+S123</f>
        <v>18314.310000000001</v>
      </c>
      <c r="V123" s="37" t="str">
        <f>'[1]1º TRIMESTRE'!V123</f>
        <v>andamento</v>
      </c>
    </row>
    <row r="124" spans="1:22" ht="45" x14ac:dyDescent="0.25">
      <c r="A124" s="35" t="str">
        <f>'[1]1º TRIMESTRE'!A124</f>
        <v>CONCORRÊNCIA Licitação: 024/2023</v>
      </c>
      <c r="B124" s="35" t="str">
        <f>'[1]1º TRIMESTRE'!B124</f>
        <v>SERVIÇOS DE IMPLANTAÇÃO DA REDE DE DRENAGEM DE ÁGUAS PLUVIAIS E PAVIMENTAÇÃO DE VIAS EM DIVERSAS RPA' S DA CIDADE DO RECIFE</v>
      </c>
      <c r="C124" s="36" t="s">
        <v>35</v>
      </c>
      <c r="D124" s="37" t="s">
        <v>36</v>
      </c>
      <c r="E124" s="37">
        <v>0</v>
      </c>
      <c r="F124" s="37">
        <v>0</v>
      </c>
      <c r="G124" s="38" t="str">
        <f>'[1]1º TRIMESTRE'!G124</f>
        <v>31.661.468/0001-50</v>
      </c>
      <c r="H124" s="38" t="str">
        <f>'[1]1º TRIMESTRE'!H124</f>
        <v>CONVERGE SERVICOS DE ENGENHARIA LTDA</v>
      </c>
      <c r="I124" s="37" t="str">
        <f>'[1]1º TRIMESTRE'!I124</f>
        <v>6-086/23</v>
      </c>
      <c r="J124" s="39">
        <f>'[1]1º TRIMESTRE'!J124</f>
        <v>45279</v>
      </c>
      <c r="K124" s="40">
        <f>'[1]1º TRIMESTRE'!K124</f>
        <v>210</v>
      </c>
      <c r="L124" s="37">
        <f>'[1]1º TRIMESTRE'!L124</f>
        <v>3697606.3</v>
      </c>
      <c r="M124" s="39">
        <f t="shared" si="1"/>
        <v>45489</v>
      </c>
      <c r="N124" s="41">
        <f>'[1]1º TRIMESTRE'!N124</f>
        <v>0</v>
      </c>
      <c r="O124" s="42">
        <f>'[1]1º TRIMESTRE'!O124</f>
        <v>0</v>
      </c>
      <c r="P124" s="37">
        <f>'[1]1º TRIMESTRE'!P124</f>
        <v>0</v>
      </c>
      <c r="Q124" s="37" t="str">
        <f>'[1]1º TRIMESTRE'!Q124</f>
        <v>4.4.90.39</v>
      </c>
      <c r="R124" s="42">
        <f>'[1]1º TRIMESTRE'!R124+1499038.84</f>
        <v>1862826.9000000001</v>
      </c>
      <c r="S124" s="42">
        <v>982536.18</v>
      </c>
      <c r="T124" s="42">
        <f>'[1]1º TRIMESTRE'!T124+S124</f>
        <v>1346324.24</v>
      </c>
      <c r="U124" s="42">
        <f>'[1]1º TRIMESTRE'!U124+S124</f>
        <v>1346324.24</v>
      </c>
      <c r="V124" s="37" t="str">
        <f>'[1]1º TRIMESTRE'!V124</f>
        <v>andamento</v>
      </c>
    </row>
    <row r="125" spans="1:22" ht="33.75" x14ac:dyDescent="0.25">
      <c r="A125" s="35" t="str">
        <f>'[1]1º TRIMESTRE'!A125</f>
        <v>CONCORRÊNCIA Licitação: 022/2023</v>
      </c>
      <c r="B125" s="35" t="str">
        <f>'[1]1º TRIMESTRE'!B125</f>
        <v>SERVIÇOS DE MANUTENÇÃO E RECUPREÇÃO DA PAVIMENTAÇÃO EM PARALELEPÍPEDOS DA CIDADE DO RECIFE. LOTE I, RPA 01</v>
      </c>
      <c r="C125" s="36">
        <v>0</v>
      </c>
      <c r="D125" s="37">
        <v>0</v>
      </c>
      <c r="E125" s="37">
        <v>0</v>
      </c>
      <c r="F125" s="37">
        <v>0</v>
      </c>
      <c r="G125" s="38" t="str">
        <f>'[1]1º TRIMESTRE'!G125</f>
        <v>11.523.068/0001-71</v>
      </c>
      <c r="H125" s="38" t="str">
        <f>'[1]1º TRIMESTRE'!H125</f>
        <v>CONSTRUTORA FAELLA LTDA EPP</v>
      </c>
      <c r="I125" s="37" t="str">
        <f>'[1]1º TRIMESTRE'!I125</f>
        <v>6-087/23</v>
      </c>
      <c r="J125" s="39">
        <f>'[1]1º TRIMESTRE'!J125</f>
        <v>45300</v>
      </c>
      <c r="K125" s="40">
        <f>'[1]1º TRIMESTRE'!K125</f>
        <v>1125</v>
      </c>
      <c r="L125" s="37">
        <f>'[1]1º TRIMESTRE'!L125</f>
        <v>7853203.1100000003</v>
      </c>
      <c r="M125" s="39">
        <f t="shared" si="1"/>
        <v>46425</v>
      </c>
      <c r="N125" s="41">
        <f>'[1]1º TRIMESTRE'!N125</f>
        <v>0</v>
      </c>
      <c r="O125" s="42">
        <f>'[1]1º TRIMESTRE'!O125</f>
        <v>0</v>
      </c>
      <c r="P125" s="37">
        <f>'[1]1º TRIMESTRE'!P125</f>
        <v>0</v>
      </c>
      <c r="Q125" s="37" t="str">
        <f>'[1]1º TRIMESTRE'!Q125</f>
        <v>3.3.90.39</v>
      </c>
      <c r="R125" s="42">
        <f>'[1]1º TRIMESTRE'!R125+163890.52</f>
        <v>163890.51999999999</v>
      </c>
      <c r="S125" s="42">
        <v>163890.51999999999</v>
      </c>
      <c r="T125" s="42">
        <f>'[1]1º TRIMESTRE'!T125+S125</f>
        <v>163890.51999999999</v>
      </c>
      <c r="U125" s="42">
        <f>'[1]1º TRIMESTRE'!U125+S125</f>
        <v>163890.51999999999</v>
      </c>
      <c r="V125" s="37" t="str">
        <f>'[1]1º TRIMESTRE'!V125</f>
        <v>andamento</v>
      </c>
    </row>
    <row r="126" spans="1:22" ht="33.75" x14ac:dyDescent="0.25">
      <c r="A126" s="35" t="str">
        <f>'[1]1º TRIMESTRE'!A126</f>
        <v>CONCORRÊNCIA Licitação: 022/2023</v>
      </c>
      <c r="B126" s="35" t="str">
        <f>'[1]1º TRIMESTRE'!B126</f>
        <v>SERVIÇOS DE MANUTENÇÃO E RECUPREÇÃO DA PAVIMENTAÇÃO EM PARALELEPÍPEDOS DA CIDADE DO RECIFE. LOTE II, RPA 02 E 03</v>
      </c>
      <c r="C126" s="36">
        <v>0</v>
      </c>
      <c r="D126" s="37">
        <v>0</v>
      </c>
      <c r="E126" s="37">
        <v>0</v>
      </c>
      <c r="F126" s="37">
        <v>0</v>
      </c>
      <c r="G126" s="38" t="str">
        <f>'[1]1º TRIMESTRE'!G126</f>
        <v>07.654.042/0001-95</v>
      </c>
      <c r="H126" s="38" t="str">
        <f>'[1]1º TRIMESTRE'!H126</f>
        <v>ALTA SERVIÇOS DE ENGENHARIA LTDA</v>
      </c>
      <c r="I126" s="37" t="str">
        <f>'[1]1º TRIMESTRE'!I126</f>
        <v>6-088/23</v>
      </c>
      <c r="J126" s="39">
        <f>'[1]1º TRIMESTRE'!J126</f>
        <v>45288</v>
      </c>
      <c r="K126" s="40">
        <f>'[1]1º TRIMESTRE'!K126</f>
        <v>1125</v>
      </c>
      <c r="L126" s="37">
        <f>'[1]1º TRIMESTRE'!L126</f>
        <v>8591843.0700000003</v>
      </c>
      <c r="M126" s="39">
        <f t="shared" si="1"/>
        <v>46413</v>
      </c>
      <c r="N126" s="41">
        <f>'[1]1º TRIMESTRE'!N126</f>
        <v>0</v>
      </c>
      <c r="O126" s="42">
        <f>'[1]1º TRIMESTRE'!O126</f>
        <v>0</v>
      </c>
      <c r="P126" s="37">
        <f>'[1]1º TRIMESTRE'!P126</f>
        <v>0</v>
      </c>
      <c r="Q126" s="37" t="str">
        <f>'[1]1º TRIMESTRE'!Q126</f>
        <v>3.3.90.39</v>
      </c>
      <c r="R126" s="42">
        <f>'[1]1º TRIMESTRE'!R126+308320.57</f>
        <v>660411.34000000008</v>
      </c>
      <c r="S126" s="42">
        <v>495536.63</v>
      </c>
      <c r="T126" s="42">
        <f>'[1]1º TRIMESTRE'!T126+S126</f>
        <v>595401.17000000004</v>
      </c>
      <c r="U126" s="42">
        <f>'[1]1º TRIMESTRE'!U126+S126</f>
        <v>595401.17000000004</v>
      </c>
      <c r="V126" s="37" t="str">
        <f>'[1]1º TRIMESTRE'!V126</f>
        <v>andamento</v>
      </c>
    </row>
    <row r="127" spans="1:22" ht="33.75" x14ac:dyDescent="0.25">
      <c r="A127" s="35" t="str">
        <f>'[1]1º TRIMESTRE'!A127</f>
        <v>CONCORRÊNCIA Licitação: 022/2023</v>
      </c>
      <c r="B127" s="35" t="str">
        <f>'[1]1º TRIMESTRE'!B127</f>
        <v>SERVIÇOS DE MANUTENÇÃO E RECUPREÇÃO DA PAVIMENTAÇÃO EM PARALELEPÍPEDOS DA CIDADE DO RECIFE. LOTE III, RPA 04 E 05</v>
      </c>
      <c r="C127" s="36">
        <v>0</v>
      </c>
      <c r="D127" s="37">
        <v>0</v>
      </c>
      <c r="E127" s="37">
        <v>0</v>
      </c>
      <c r="F127" s="37">
        <v>0</v>
      </c>
      <c r="G127" s="38" t="str">
        <f>'[1]1º TRIMESTRE'!G127</f>
        <v>10.698.641/0001-15</v>
      </c>
      <c r="H127" s="38" t="str">
        <f>'[1]1º TRIMESTRE'!H127</f>
        <v>CONSTRUTORA MASTER EIRELI ME</v>
      </c>
      <c r="I127" s="37" t="str">
        <f>'[1]1º TRIMESTRE'!I127</f>
        <v>6-089/23</v>
      </c>
      <c r="J127" s="39">
        <f>'[1]1º TRIMESTRE'!J127</f>
        <v>45280</v>
      </c>
      <c r="K127" s="40">
        <f>'[1]1º TRIMESTRE'!K127</f>
        <v>1125</v>
      </c>
      <c r="L127" s="37">
        <f>'[1]1º TRIMESTRE'!L127</f>
        <v>10635818.07</v>
      </c>
      <c r="M127" s="39">
        <f t="shared" si="1"/>
        <v>46405</v>
      </c>
      <c r="N127" s="41">
        <f>'[1]1º TRIMESTRE'!N127</f>
        <v>0</v>
      </c>
      <c r="O127" s="42">
        <f>'[1]1º TRIMESTRE'!O127</f>
        <v>0</v>
      </c>
      <c r="P127" s="37">
        <f>'[1]1º TRIMESTRE'!P127</f>
        <v>0</v>
      </c>
      <c r="Q127" s="37" t="str">
        <f>'[1]1º TRIMESTRE'!Q127</f>
        <v>3.3.90.39</v>
      </c>
      <c r="R127" s="42">
        <f>'[1]1º TRIMESTRE'!R127+288465.91</f>
        <v>288465.90999999997</v>
      </c>
      <c r="S127" s="42">
        <v>288465.90999999997</v>
      </c>
      <c r="T127" s="42">
        <f>'[1]1º TRIMESTRE'!T127+S127</f>
        <v>288465.90999999997</v>
      </c>
      <c r="U127" s="42">
        <f>'[1]1º TRIMESTRE'!U127+S127</f>
        <v>288465.90999999997</v>
      </c>
      <c r="V127" s="37" t="str">
        <f>'[1]1º TRIMESTRE'!V127</f>
        <v>andamento</v>
      </c>
    </row>
    <row r="128" spans="1:22" ht="33.75" x14ac:dyDescent="0.25">
      <c r="A128" s="35" t="str">
        <f>'[1]1º TRIMESTRE'!A128</f>
        <v>CONCORRÊNCIA Licitação: 022/2023</v>
      </c>
      <c r="B128" s="35" t="str">
        <f>'[1]1º TRIMESTRE'!B128</f>
        <v>SERVIÇOS DE MANUTENÇÃO E RECUPREÇÃO DA PAVIMENTAÇÃO EM PARALELEPÍPEDOS DA CIDADE DO RECIFE. LOTE IV, RPA 06</v>
      </c>
      <c r="C128" s="36">
        <v>0</v>
      </c>
      <c r="D128" s="37">
        <v>0</v>
      </c>
      <c r="E128" s="37">
        <v>0</v>
      </c>
      <c r="F128" s="37">
        <v>0</v>
      </c>
      <c r="G128" s="38" t="str">
        <f>'[1]1º TRIMESTRE'!G128</f>
        <v>10.811.370/0001-62</v>
      </c>
      <c r="H128" s="38" t="str">
        <f>'[1]1º TRIMESTRE'!H128</f>
        <v>GUERRA CONSTRUCOES LTDA</v>
      </c>
      <c r="I128" s="37" t="str">
        <f>'[1]1º TRIMESTRE'!I128</f>
        <v>6-090/23</v>
      </c>
      <c r="J128" s="39">
        <f>'[1]1º TRIMESTRE'!J128</f>
        <v>45280</v>
      </c>
      <c r="K128" s="40">
        <f>'[1]1º TRIMESTRE'!K128</f>
        <v>1125</v>
      </c>
      <c r="L128" s="37">
        <f>'[1]1º TRIMESTRE'!L128</f>
        <v>11760484.59</v>
      </c>
      <c r="M128" s="39">
        <f t="shared" si="1"/>
        <v>46405</v>
      </c>
      <c r="N128" s="41">
        <f>'[1]1º TRIMESTRE'!N128</f>
        <v>0</v>
      </c>
      <c r="O128" s="42">
        <f>'[1]1º TRIMESTRE'!O128</f>
        <v>0</v>
      </c>
      <c r="P128" s="37">
        <f>'[1]1º TRIMESTRE'!P128</f>
        <v>0</v>
      </c>
      <c r="Q128" s="37" t="str">
        <f>'[1]1º TRIMESTRE'!Q128</f>
        <v>3.3.90.39</v>
      </c>
      <c r="R128" s="42">
        <f>'[1]1º TRIMESTRE'!R128+513099.5</f>
        <v>636742.97</v>
      </c>
      <c r="S128" s="42">
        <v>250350.54</v>
      </c>
      <c r="T128" s="42">
        <f>'[1]1º TRIMESTRE'!T128+S128</f>
        <v>322626.91000000003</v>
      </c>
      <c r="U128" s="42">
        <f>'[1]1º TRIMESTRE'!U128+S128</f>
        <v>322626.91000000003</v>
      </c>
      <c r="V128" s="37" t="str">
        <f>'[1]1º TRIMESTRE'!V128</f>
        <v>andamento</v>
      </c>
    </row>
    <row r="129" spans="1:22" ht="56.25" x14ac:dyDescent="0.25">
      <c r="A129" s="35" t="str">
        <f>'[1]1º TRIMESTRE'!A129</f>
        <v>CONCORRÊNCIA Licitação: 025/2023</v>
      </c>
      <c r="B129" s="35" t="str">
        <f>'[1]1º TRIMESTRE'!B129</f>
        <v>EMPRESA ESPECIALIZADA EM VIDEO INSPEÇÃO E ELABORAÇÃO DE DIAGNÓSTICOS DO SISTEMA DE MICRODRENAGEM DA CIDADE DO RECIFE</v>
      </c>
      <c r="C129" s="36">
        <v>0</v>
      </c>
      <c r="D129" s="37">
        <v>0</v>
      </c>
      <c r="E129" s="37">
        <v>0</v>
      </c>
      <c r="F129" s="37">
        <v>0</v>
      </c>
      <c r="G129" s="38" t="str">
        <f>'[1]1º TRIMESTRE'!G129</f>
        <v>40.884.405/0001-54</v>
      </c>
      <c r="H129" s="38" t="str">
        <f>'[1]1º TRIMESTRE'!H129</f>
        <v>LOQUIPE LOCACAO DE EQUIPAMENTOS E MAO DE OBRA LTDA</v>
      </c>
      <c r="I129" s="37" t="str">
        <f>'[1]1º TRIMESTRE'!I129</f>
        <v>6-091/23</v>
      </c>
      <c r="J129" s="39">
        <f>'[1]1º TRIMESTRE'!J129</f>
        <v>45352</v>
      </c>
      <c r="K129" s="40">
        <f>'[1]1º TRIMESTRE'!K129</f>
        <v>365</v>
      </c>
      <c r="L129" s="37">
        <f>'[1]1º TRIMESTRE'!L129</f>
        <v>4982817</v>
      </c>
      <c r="M129" s="39">
        <f t="shared" si="1"/>
        <v>45717</v>
      </c>
      <c r="N129" s="41">
        <f>'[1]1º TRIMESTRE'!N129</f>
        <v>0</v>
      </c>
      <c r="O129" s="42">
        <f>'[1]1º TRIMESTRE'!O129</f>
        <v>0</v>
      </c>
      <c r="P129" s="37">
        <f>'[1]1º TRIMESTRE'!P129</f>
        <v>0</v>
      </c>
      <c r="Q129" s="37" t="str">
        <f>'[1]1º TRIMESTRE'!Q129</f>
        <v>3.3.90.39</v>
      </c>
      <c r="R129" s="42">
        <f>'[1]1º TRIMESTRE'!R129+620735.07</f>
        <v>620735.06999999995</v>
      </c>
      <c r="S129" s="42">
        <v>620735.06999999995</v>
      </c>
      <c r="T129" s="42">
        <f>'[1]1º TRIMESTRE'!T129+S129</f>
        <v>620735.06999999995</v>
      </c>
      <c r="U129" s="42">
        <f>'[1]1º TRIMESTRE'!U129+S129</f>
        <v>620735.06999999995</v>
      </c>
      <c r="V129" s="37" t="str">
        <f>'[1]1º TRIMESTRE'!V129</f>
        <v>andamento</v>
      </c>
    </row>
    <row r="130" spans="1:22" ht="43.5" customHeight="1" x14ac:dyDescent="0.25">
      <c r="A130" s="35" t="str">
        <f>'[1]1º TRIMESTRE'!A130</f>
        <v>CONCORRÊNCIA Licitação: 026/2023</v>
      </c>
      <c r="B130" s="35" t="str">
        <f>'[1]1º TRIMESTRE'!B130</f>
        <v>ELABORAÇÃO DE PROJETOS EXECUTIVOS DE INFRAESTRUTURA URBANA, PARA DIVERSAS VIAS URBANAS DA CIDADE DO RECIFE - LOTE I</v>
      </c>
      <c r="C130" s="36">
        <v>0</v>
      </c>
      <c r="D130" s="37">
        <v>0</v>
      </c>
      <c r="E130" s="37">
        <v>0</v>
      </c>
      <c r="F130" s="37">
        <v>0</v>
      </c>
      <c r="G130" s="38" t="str">
        <f>'[1]1º TRIMESTRE'!G130</f>
        <v>41.075.755/0001-32</v>
      </c>
      <c r="H130" s="38" t="str">
        <f>'[1]1º TRIMESTRE'!H130</f>
        <v>NORCONSULT PROJETOS E CONSULTORIA LTDA</v>
      </c>
      <c r="I130" s="37" t="str">
        <f>'[1]1º TRIMESTRE'!I130</f>
        <v>6-001/24</v>
      </c>
      <c r="J130" s="39">
        <f>'[1]1º TRIMESTRE'!J130</f>
        <v>45327</v>
      </c>
      <c r="K130" s="40">
        <f>'[1]1º TRIMESTRE'!K130</f>
        <v>360</v>
      </c>
      <c r="L130" s="37">
        <f>'[1]1º TRIMESTRE'!L130</f>
        <v>1504215.49</v>
      </c>
      <c r="M130" s="39">
        <f t="shared" si="1"/>
        <v>45687</v>
      </c>
      <c r="N130" s="41">
        <f>'[1]1º TRIMESTRE'!N130</f>
        <v>0</v>
      </c>
      <c r="O130" s="42">
        <f>'[1]1º TRIMESTRE'!O130</f>
        <v>0</v>
      </c>
      <c r="P130" s="37">
        <f>'[1]1º TRIMESTRE'!P130</f>
        <v>0</v>
      </c>
      <c r="Q130" s="37" t="str">
        <f>'[1]1º TRIMESTRE'!Q130</f>
        <v>3.3.90.39</v>
      </c>
      <c r="R130" s="42">
        <f>'[1]1º TRIMESTRE'!R130</f>
        <v>0</v>
      </c>
      <c r="S130" s="42"/>
      <c r="T130" s="42">
        <f>'[1]1º TRIMESTRE'!T130+S130</f>
        <v>0</v>
      </c>
      <c r="U130" s="42">
        <f>'[1]1º TRIMESTRE'!U130+S130</f>
        <v>0</v>
      </c>
      <c r="V130" s="37" t="str">
        <f>'[1]1º TRIMESTRE'!V130</f>
        <v>andamento</v>
      </c>
    </row>
    <row r="131" spans="1:22" ht="45.75" customHeight="1" x14ac:dyDescent="0.25">
      <c r="A131" s="35" t="str">
        <f>'[1]1º TRIMESTRE'!A131</f>
        <v>CONCORRÊNCIA Licitação: 026/2023</v>
      </c>
      <c r="B131" s="35" t="str">
        <f>'[1]1º TRIMESTRE'!B131</f>
        <v>ELABORAÇÃO DE PROJETOS EXECUTIVOS DE INFRAESTRUTURA URBANA, PARA DIVERSAS VIAS URBANAS DA CIDADE DO RECIFE - LOTE II</v>
      </c>
      <c r="C131" s="36">
        <v>0</v>
      </c>
      <c r="D131" s="37">
        <v>0</v>
      </c>
      <c r="E131" s="37">
        <v>0</v>
      </c>
      <c r="F131" s="37">
        <v>0</v>
      </c>
      <c r="G131" s="38" t="str">
        <f>'[1]1º TRIMESTRE'!G131</f>
        <v>11.019.554/0001-57</v>
      </c>
      <c r="H131" s="38" t="str">
        <f>'[1]1º TRIMESTRE'!H131</f>
        <v>PDCA ENGENHARIA PLANEJAMENTO DESENVOLVIMENTO CONSULTORIA E ASSESSORIA LTDA EPP</v>
      </c>
      <c r="I131" s="37" t="str">
        <f>'[1]1º TRIMESTRE'!I131</f>
        <v>6-002/24</v>
      </c>
      <c r="J131" s="39">
        <f>'[1]1º TRIMESTRE'!J131</f>
        <v>1</v>
      </c>
      <c r="K131" s="40">
        <f>'[1]1º TRIMESTRE'!K131</f>
        <v>360</v>
      </c>
      <c r="L131" s="37">
        <f>'[1]1º TRIMESTRE'!L131</f>
        <v>1344558.34</v>
      </c>
      <c r="M131" s="39">
        <f t="shared" si="1"/>
        <v>361</v>
      </c>
      <c r="N131" s="41">
        <f>'[1]1º TRIMESTRE'!N131</f>
        <v>0</v>
      </c>
      <c r="O131" s="42">
        <f>'[1]1º TRIMESTRE'!O131</f>
        <v>0</v>
      </c>
      <c r="P131" s="37">
        <f>'[1]1º TRIMESTRE'!P131</f>
        <v>0</v>
      </c>
      <c r="Q131" s="37" t="str">
        <f>'[1]1º TRIMESTRE'!Q131</f>
        <v>3.3.90.39</v>
      </c>
      <c r="R131" s="42">
        <f>'[1]1º TRIMESTRE'!R131</f>
        <v>0</v>
      </c>
      <c r="S131" s="42"/>
      <c r="T131" s="42">
        <f>'[1]1º TRIMESTRE'!T131+S131</f>
        <v>0</v>
      </c>
      <c r="U131" s="42">
        <f>'[1]1º TRIMESTRE'!U131+S131</f>
        <v>0</v>
      </c>
      <c r="V131" s="37" t="str">
        <f>'[1]1º TRIMESTRE'!V131</f>
        <v>em elaboração</v>
      </c>
    </row>
    <row r="132" spans="1:22" ht="47.25" customHeight="1" x14ac:dyDescent="0.25">
      <c r="A132" s="35" t="str">
        <f>'[1]1º TRIMESTRE'!A132</f>
        <v>PREGÃO ELETRÔNICO Licitação: 033/2023</v>
      </c>
      <c r="B132" s="35" t="str">
        <f>'[1]1º TRIMESTRE'!B132</f>
        <v>SERVIÇOS DE ENGENHARIA DE BAIXA COMPLEXIDADE, PARA FECHAMENTO DE EDIFICAÇÕES E ÁREAS PÚBLICAS, COM RISCOS DE DESMORONAMENTO E INVASÕES, DURANTE O PERÍODO DO “CARNAVAL DE 2024”. LOTE I (15.009778/2023-10)</v>
      </c>
      <c r="C132" s="36">
        <v>0</v>
      </c>
      <c r="D132" s="37">
        <v>0</v>
      </c>
      <c r="E132" s="37">
        <v>0</v>
      </c>
      <c r="F132" s="37">
        <v>0</v>
      </c>
      <c r="G132" s="38" t="str">
        <f>'[1]1º TRIMESTRE'!G132</f>
        <v>06.157.352/0001-31</v>
      </c>
      <c r="H132" s="38" t="str">
        <f>'[1]1º TRIMESTRE'!H132</f>
        <v>JAIR SOUZA DE LIMA SERVICOS E CONSTRUCOES LTDA</v>
      </c>
      <c r="I132" s="37" t="str">
        <f>'[1]1º TRIMESTRE'!I132</f>
        <v>6-003/24</v>
      </c>
      <c r="J132" s="39">
        <f>'[1]1º TRIMESTRE'!J132</f>
        <v>45315</v>
      </c>
      <c r="K132" s="40">
        <f>'[1]1º TRIMESTRE'!K132</f>
        <v>60</v>
      </c>
      <c r="L132" s="37">
        <f>'[1]1º TRIMESTRE'!L132</f>
        <v>276000</v>
      </c>
      <c r="M132" s="39">
        <f t="shared" si="1"/>
        <v>45375</v>
      </c>
      <c r="N132" s="41">
        <f>'[1]1º TRIMESTRE'!N132</f>
        <v>0</v>
      </c>
      <c r="O132" s="42">
        <f>'[1]1º TRIMESTRE'!O132</f>
        <v>68889.62</v>
      </c>
      <c r="P132" s="37">
        <f>'[1]1º TRIMESTRE'!P132</f>
        <v>0</v>
      </c>
      <c r="Q132" s="37" t="str">
        <f>'[1]1º TRIMESTRE'!Q132</f>
        <v>3.3.90.39</v>
      </c>
      <c r="R132" s="42">
        <f>'[1]1º TRIMESTRE'!R132</f>
        <v>341814.11</v>
      </c>
      <c r="S132" s="42">
        <v>68889.62</v>
      </c>
      <c r="T132" s="42">
        <f>'[1]1º TRIMESTRE'!T132+S132</f>
        <v>341814.11</v>
      </c>
      <c r="U132" s="42">
        <f>'[1]1º TRIMESTRE'!U132+S132</f>
        <v>341814.11</v>
      </c>
      <c r="V132" s="37" t="str">
        <f>'[1]1º TRIMESTRE'!V132</f>
        <v>andamento</v>
      </c>
    </row>
    <row r="133" spans="1:22" ht="60" customHeight="1" x14ac:dyDescent="0.25">
      <c r="A133" s="35" t="str">
        <f>'[1]1º TRIMESTRE'!A133</f>
        <v>PREGÃO ELETRÔNICO Licitação: 033/2023</v>
      </c>
      <c r="B133" s="35" t="str">
        <f>'[1]1º TRIMESTRE'!B133</f>
        <v>SERVIÇOS DE ENGENHARIA DE BAIXA COMPLEXIDADE, PARA FECHAMENTO DE EDIFICAÇÕES E ÁREAS PÚBLICAS, COM RISCOS DE DESMORONAMENTO E INVASÕES, DURANTE O PERÍODO DO “CARNAVAL DE 2024”. LOTE II (15.009778/2023-10)</v>
      </c>
      <c r="C133" s="36">
        <v>0</v>
      </c>
      <c r="D133" s="37">
        <v>0</v>
      </c>
      <c r="E133" s="37">
        <v>0</v>
      </c>
      <c r="F133" s="37">
        <v>0</v>
      </c>
      <c r="G133" s="38" t="str">
        <f>'[1]1º TRIMESTRE'!G133</f>
        <v>08.135.535/0001-81</v>
      </c>
      <c r="H133" s="38" t="str">
        <f>'[1]1º TRIMESTRE'!H133</f>
        <v>CONSTRUTORA FJ LTDA</v>
      </c>
      <c r="I133" s="37" t="str">
        <f>'[1]1º TRIMESTRE'!I133</f>
        <v>6-004/24</v>
      </c>
      <c r="J133" s="39">
        <f>'[1]1º TRIMESTRE'!J133</f>
        <v>45314</v>
      </c>
      <c r="K133" s="40">
        <f>'[1]1º TRIMESTRE'!K133</f>
        <v>60</v>
      </c>
      <c r="L133" s="37">
        <f>'[1]1º TRIMESTRE'!L133</f>
        <v>292497.15999999997</v>
      </c>
      <c r="M133" s="39">
        <f t="shared" si="1"/>
        <v>45374</v>
      </c>
      <c r="N133" s="41">
        <f>'[1]1º TRIMESTRE'!N133</f>
        <v>0</v>
      </c>
      <c r="O133" s="42">
        <f>'[1]1º TRIMESTRE'!O133</f>
        <v>73065.440000000002</v>
      </c>
      <c r="P133" s="37">
        <f>'[1]1º TRIMESTRE'!P133</f>
        <v>0</v>
      </c>
      <c r="Q133" s="37" t="str">
        <f>'[1]1º TRIMESTRE'!Q133</f>
        <v>3.3.90.39</v>
      </c>
      <c r="R133" s="42">
        <f>'[1]1º TRIMESTRE'!R133</f>
        <v>365562.49</v>
      </c>
      <c r="S133" s="42">
        <v>73065.440000000002</v>
      </c>
      <c r="T133" s="42">
        <f>'[1]1º TRIMESTRE'!T133+S133</f>
        <v>365562.49</v>
      </c>
      <c r="U133" s="42">
        <f>'[1]1º TRIMESTRE'!U133+S133</f>
        <v>365562.49</v>
      </c>
      <c r="V133" s="37" t="str">
        <f>'[1]1º TRIMESTRE'!V133</f>
        <v>andamento</v>
      </c>
    </row>
    <row r="134" spans="1:22" ht="63" customHeight="1" x14ac:dyDescent="0.25">
      <c r="A134" s="35" t="str">
        <f>'[1]1º TRIMESTRE'!A134</f>
        <v>PREGÃO ELETRÔNICO Licitação: 033/2023</v>
      </c>
      <c r="B134" s="35" t="str">
        <f>'[1]1º TRIMESTRE'!B134</f>
        <v>SERVIÇOS DE ENGENHARIA DE BAIXA COMPLEXIDADE, PARA FECHAMENTO DE EDIFICAÇÕES E ÁREAS PÚBLICAS, COM RISCOS DE DESMORONAMENTO E INVASÕES, DURANTE O PERÍODO DO “CARNAVAL DE 2024”. LOTE III (15.009778/2023-10)</v>
      </c>
      <c r="C134" s="36">
        <v>0</v>
      </c>
      <c r="D134" s="37">
        <v>0</v>
      </c>
      <c r="E134" s="37">
        <v>0</v>
      </c>
      <c r="F134" s="37">
        <v>0</v>
      </c>
      <c r="G134" s="38" t="str">
        <f>'[1]1º TRIMESTRE'!G134</f>
        <v>10.811.370/0001-62</v>
      </c>
      <c r="H134" s="38" t="str">
        <f>'[1]1º TRIMESTRE'!H134</f>
        <v>GUERRA CONSTRUCOES LTDA</v>
      </c>
      <c r="I134" s="37" t="str">
        <f>'[1]1º TRIMESTRE'!I134</f>
        <v>6-005/24</v>
      </c>
      <c r="J134" s="39">
        <f>'[1]1º TRIMESTRE'!J134</f>
        <v>45314</v>
      </c>
      <c r="K134" s="40">
        <f>'[1]1º TRIMESTRE'!K134</f>
        <v>60</v>
      </c>
      <c r="L134" s="37">
        <f>'[1]1º TRIMESTRE'!L134</f>
        <v>429999.35</v>
      </c>
      <c r="M134" s="39">
        <f t="shared" si="1"/>
        <v>45374</v>
      </c>
      <c r="N134" s="41">
        <f>'[1]1º TRIMESTRE'!N134</f>
        <v>0</v>
      </c>
      <c r="O134" s="42">
        <f>'[1]1º TRIMESTRE'!O134</f>
        <v>107370.45</v>
      </c>
      <c r="P134" s="37">
        <f>'[1]1º TRIMESTRE'!P134</f>
        <v>0</v>
      </c>
      <c r="Q134" s="37" t="str">
        <f>'[1]1º TRIMESTRE'!Q134</f>
        <v>3.3.90.39</v>
      </c>
      <c r="R134" s="42">
        <f>'[1]1º TRIMESTRE'!R134</f>
        <v>534932.43000000005</v>
      </c>
      <c r="S134" s="42">
        <v>107370.45</v>
      </c>
      <c r="T134" s="42">
        <f>'[1]1º TRIMESTRE'!T134+S134</f>
        <v>534932.42999999993</v>
      </c>
      <c r="U134" s="42">
        <f>'[1]1º TRIMESTRE'!U134+S134</f>
        <v>534932.42999999993</v>
      </c>
      <c r="V134" s="37" t="str">
        <f>'[1]1º TRIMESTRE'!V134</f>
        <v>andamento</v>
      </c>
    </row>
    <row r="135" spans="1:22" ht="54" customHeight="1" x14ac:dyDescent="0.25">
      <c r="A135" s="35" t="str">
        <f>'[1]1º TRIMESTRE'!A135</f>
        <v>PREGÃO ELETRÔNICO Licitação: 040/2023</v>
      </c>
      <c r="B135" s="35" t="str">
        <f>'[1]1º TRIMESTRE'!B135</f>
        <v>SERVIÇOS DE RECUPERAÇÃO E MANUTENÇÃO DO MURO DO CEMITÉRIO SENHOR BOM JESUS DA REDENÇÃO DE SANTO AMARO DAS SALINAS, NO TRECHO COMPREENDIDO ENTRE A RUA DOS PALMARES E A RUA PEDRO AFONSO, SANTO AMARO, RECIFE/PE. (15.011006/2023-48)</v>
      </c>
      <c r="C135" s="36">
        <v>0</v>
      </c>
      <c r="D135" s="37">
        <v>0</v>
      </c>
      <c r="E135" s="37">
        <v>0</v>
      </c>
      <c r="F135" s="37">
        <v>0</v>
      </c>
      <c r="G135" s="38" t="str">
        <f>'[1]1º TRIMESTRE'!G135</f>
        <v>41.331.709/0001-57</v>
      </c>
      <c r="H135" s="38" t="str">
        <f>'[1]1º TRIMESTRE'!H135</f>
        <v>TUDO FORTE CONSTRUÇÕES COMERCIO E SERVIÇOS EIRELI</v>
      </c>
      <c r="I135" s="37" t="str">
        <f>'[1]1º TRIMESTRE'!I135</f>
        <v>6-006/24</v>
      </c>
      <c r="J135" s="39">
        <f>'[1]1º TRIMESTRE'!J135</f>
        <v>1</v>
      </c>
      <c r="K135" s="40">
        <f>'[1]1º TRIMESTRE'!K135</f>
        <v>90</v>
      </c>
      <c r="L135" s="37">
        <f>'[1]1º TRIMESTRE'!L135</f>
        <v>290450.01</v>
      </c>
      <c r="M135" s="39">
        <f t="shared" si="1"/>
        <v>91</v>
      </c>
      <c r="N135" s="41">
        <f>'[1]1º TRIMESTRE'!N135</f>
        <v>0</v>
      </c>
      <c r="O135" s="42">
        <f>'[1]1º TRIMESTRE'!O135</f>
        <v>0</v>
      </c>
      <c r="P135" s="37">
        <f>'[1]1º TRIMESTRE'!P135</f>
        <v>0</v>
      </c>
      <c r="Q135" s="37" t="str">
        <f>'[1]1º TRIMESTRE'!Q135</f>
        <v>3.3.90.39</v>
      </c>
      <c r="R135" s="42">
        <f>'[1]1º TRIMESTRE'!R135</f>
        <v>0</v>
      </c>
      <c r="S135" s="42"/>
      <c r="T135" s="42">
        <f>'[1]1º TRIMESTRE'!T135+S135</f>
        <v>0</v>
      </c>
      <c r="U135" s="42">
        <f>'[1]1º TRIMESTRE'!U135+S135</f>
        <v>0</v>
      </c>
      <c r="V135" s="37" t="str">
        <f>'[1]1º TRIMESTRE'!V135</f>
        <v>em elaboração</v>
      </c>
    </row>
    <row r="136" spans="1:22" ht="50.25" customHeight="1" x14ac:dyDescent="0.25">
      <c r="A136" s="35" t="str">
        <f>'[1]1º TRIMESTRE'!A136</f>
        <v>INEX  001/2024</v>
      </c>
      <c r="B136" s="35" t="str">
        <f>'[1]1º TRIMESTRE'!B136</f>
        <v>SERVIÇO DE CONSULTIVA ESPECIALIZADA EM CÁLCULO ESTRUTURAL DE OBRA DE ARTE ESPECIAL, PARA INVESTIGAÇÃO DAS NOVAS PATOLOGIAS IDENTIFICADAS NA PONTE 12 DE SETEMBRO (PONTE GIRATÓRIA), LOCALIZADA NO BAIRRO DE SÃO JOSÉ, RECIFE-PE. 15.011475/2023-67</v>
      </c>
      <c r="C136" s="36">
        <v>0</v>
      </c>
      <c r="D136" s="37">
        <v>0</v>
      </c>
      <c r="E136" s="37">
        <v>0</v>
      </c>
      <c r="F136" s="37">
        <v>0</v>
      </c>
      <c r="G136" s="38" t="str">
        <f>'[1]1º TRIMESTRE'!G136</f>
        <v>35.476.548/0001-97</v>
      </c>
      <c r="H136" s="38" t="str">
        <f>'[1]1º TRIMESTRE'!H136</f>
        <v>B &amp; C ENGENHERIOS CONSULTORES LTDA</v>
      </c>
      <c r="I136" s="37" t="str">
        <f>'[1]1º TRIMESTRE'!I136</f>
        <v>6-009/24</v>
      </c>
      <c r="J136" s="39">
        <f>'[1]1º TRIMESTRE'!J136</f>
        <v>45317</v>
      </c>
      <c r="K136" s="40">
        <f>'[1]1º TRIMESTRE'!K136</f>
        <v>210</v>
      </c>
      <c r="L136" s="37">
        <f>'[1]1º TRIMESTRE'!L136</f>
        <v>465300</v>
      </c>
      <c r="M136" s="39">
        <f t="shared" si="1"/>
        <v>45527</v>
      </c>
      <c r="N136" s="41">
        <f>'[1]1º TRIMESTRE'!N136</f>
        <v>0</v>
      </c>
      <c r="O136" s="42">
        <f>'[1]1º TRIMESTRE'!O136</f>
        <v>0</v>
      </c>
      <c r="P136" s="37">
        <f>'[1]1º TRIMESTRE'!P136</f>
        <v>0</v>
      </c>
      <c r="Q136" s="37" t="str">
        <f>'[1]1º TRIMESTRE'!Q136</f>
        <v>3.3.90.39</v>
      </c>
      <c r="R136" s="42">
        <f>'[1]1º TRIMESTRE'!R136+196939.32</f>
        <v>298710.33</v>
      </c>
      <c r="S136" s="42">
        <v>298710.33</v>
      </c>
      <c r="T136" s="42">
        <f>'[1]1º TRIMESTRE'!T136+S136</f>
        <v>298710.33</v>
      </c>
      <c r="U136" s="42">
        <f>'[1]1º TRIMESTRE'!U136+S136</f>
        <v>298710.33</v>
      </c>
      <c r="V136" s="37" t="str">
        <f>'[1]1º TRIMESTRE'!V136</f>
        <v>andamento</v>
      </c>
    </row>
    <row r="137" spans="1:22" ht="40.5" customHeight="1" x14ac:dyDescent="0.25">
      <c r="A137" s="35" t="str">
        <f>'[1]1º TRIMESTRE'!A137</f>
        <v>TOMADA DE PREÇOS Licitação: 012/2023</v>
      </c>
      <c r="B137" s="35" t="str">
        <f>'[1]1º TRIMESTRE'!B137</f>
        <v>CONTRATAÇÃO DE EMPRESA ESPECIALIZADA DE ENG. CONSULTIVA DE ESTUDOS DE PAV. PARA REALIZAÇÃO DE ENSAIOS IN SITU E DE LABORATÓRIOS, DAS CAMADAS DO PAVIMENTO COM REVESTIMENTO FLEXÍVEL DE DIVERSAS VIAS DA CIDADE DO RECIFE - PE</v>
      </c>
      <c r="C137" s="36">
        <v>0</v>
      </c>
      <c r="D137" s="37">
        <v>0</v>
      </c>
      <c r="E137" s="37">
        <v>0</v>
      </c>
      <c r="F137" s="37">
        <v>0</v>
      </c>
      <c r="G137" s="38" t="str">
        <f>'[1]1º TRIMESTRE'!G137</f>
        <v>32.636.403/0001-18</v>
      </c>
      <c r="H137" s="38" t="str">
        <f>'[1]1º TRIMESTRE'!H137</f>
        <v>STONE CONSULTORIA &amp; PROJETOS LTDA</v>
      </c>
      <c r="I137" s="37" t="str">
        <f>'[1]1º TRIMESTRE'!I137</f>
        <v>6-010/24</v>
      </c>
      <c r="J137" s="39">
        <f>'[1]1º TRIMESTRE'!J137</f>
        <v>45324</v>
      </c>
      <c r="K137" s="40">
        <f>'[1]1º TRIMESTRE'!K137</f>
        <v>570</v>
      </c>
      <c r="L137" s="37">
        <f>'[1]1º TRIMESTRE'!L137</f>
        <v>704906.94</v>
      </c>
      <c r="M137" s="39">
        <f t="shared" ref="M137:M172" si="2">J137+K137+N137</f>
        <v>45894</v>
      </c>
      <c r="N137" s="41">
        <f>'[1]1º TRIMESTRE'!N137</f>
        <v>0</v>
      </c>
      <c r="O137" s="42">
        <f>'[1]1º TRIMESTRE'!O137</f>
        <v>0</v>
      </c>
      <c r="P137" s="37">
        <f>'[1]1º TRIMESTRE'!P137</f>
        <v>0</v>
      </c>
      <c r="Q137" s="37" t="str">
        <f>'[1]1º TRIMESTRE'!Q137</f>
        <v>3.3.90.39</v>
      </c>
      <c r="R137" s="42">
        <f>'[1]1º TRIMESTRE'!R137+202586.92</f>
        <v>202586.92</v>
      </c>
      <c r="S137" s="42">
        <v>202586.92</v>
      </c>
      <c r="T137" s="42">
        <f>'[1]1º TRIMESTRE'!T137+S137</f>
        <v>202586.92</v>
      </c>
      <c r="U137" s="42">
        <f>'[1]1º TRIMESTRE'!U137+S137</f>
        <v>202586.92</v>
      </c>
      <c r="V137" s="37" t="str">
        <f>'[1]1º TRIMESTRE'!V137</f>
        <v>andamento</v>
      </c>
    </row>
    <row r="138" spans="1:22" ht="51.75" customHeight="1" x14ac:dyDescent="0.25">
      <c r="A138" s="35" t="str">
        <f>'[1]1º TRIMESTRE'!A138</f>
        <v>CONCORRÊNCIA Licitação: 029/2023</v>
      </c>
      <c r="B138" s="35" t="str">
        <f>'[1]1º TRIMESTRE'!B138</f>
        <v>REQUALIFICAÇÃO DA DRENAGEM PLUVIAL, PAVIMENTAÇÃO E ACESSIBILIDADE NA RUA GONÇALVES MAIA, TRECHO AV. MANOEL BORBA E AV. LINS PETIT NO BAIRRO DA BOA VISTA - RECIFE/PE</v>
      </c>
      <c r="C138" s="36">
        <v>0</v>
      </c>
      <c r="D138" s="37">
        <v>0</v>
      </c>
      <c r="E138" s="37">
        <v>0</v>
      </c>
      <c r="F138" s="37">
        <v>0</v>
      </c>
      <c r="G138" s="38" t="str">
        <f>'[1]1º TRIMESTRE'!G138</f>
        <v>03.400.040/0001-19</v>
      </c>
      <c r="H138" s="38" t="str">
        <f>'[1]1º TRIMESTRE'!H138</f>
        <v>TOPEC EMPREENDIMENTOS E SERVICOS LTDA</v>
      </c>
      <c r="I138" s="37" t="str">
        <f>'[1]1º TRIMESTRE'!I138</f>
        <v>6-011/24</v>
      </c>
      <c r="J138" s="39">
        <f>'[1]1º TRIMESTRE'!J138</f>
        <v>1</v>
      </c>
      <c r="K138" s="40">
        <f>'[1]1º TRIMESTRE'!K138</f>
        <v>180</v>
      </c>
      <c r="L138" s="37">
        <f>'[1]1º TRIMESTRE'!L138</f>
        <v>2575522.7599999998</v>
      </c>
      <c r="M138" s="39">
        <f t="shared" si="2"/>
        <v>181</v>
      </c>
      <c r="N138" s="41">
        <f>'[1]1º TRIMESTRE'!N138</f>
        <v>0</v>
      </c>
      <c r="O138" s="42">
        <f>'[1]1º TRIMESTRE'!O138</f>
        <v>0</v>
      </c>
      <c r="P138" s="37">
        <f>'[1]1º TRIMESTRE'!P138</f>
        <v>0</v>
      </c>
      <c r="Q138" s="37" t="str">
        <f>'[1]1º TRIMESTRE'!Q138</f>
        <v>3.3.90.39</v>
      </c>
      <c r="R138" s="42">
        <f>'[1]1º TRIMESTRE'!R138</f>
        <v>0</v>
      </c>
      <c r="S138" s="42"/>
      <c r="T138" s="42">
        <f>'[1]1º TRIMESTRE'!T138+S138</f>
        <v>0</v>
      </c>
      <c r="U138" s="42">
        <f>'[1]1º TRIMESTRE'!U138+S138</f>
        <v>0</v>
      </c>
      <c r="V138" s="37" t="str">
        <f>'[1]1º TRIMESTRE'!V138</f>
        <v>em elaboração</v>
      </c>
    </row>
    <row r="139" spans="1:22" ht="40.5" customHeight="1" x14ac:dyDescent="0.25">
      <c r="A139" s="35" t="str">
        <f>'[1]1º TRIMESTRE'!A139</f>
        <v>TOMADA DE PREÇOS Licitação: 016/2023</v>
      </c>
      <c r="B139" s="35" t="str">
        <f>'[1]1º TRIMESTRE'!B139</f>
        <v>CONTRATAÇÃO DE EMPRESA ESPECIALIZADA DE ENGENHARIA PARA IMPLANTAÇÃO DE PRAÇA DA 1º INFÂNCIA, FERRAMENTAS DE CULTURA E LAZER, NO PARQUE TREZE DE MAIO, BAIRRO DE SANTO AMARO, NA CIDADE DO RECIFE - PE</v>
      </c>
      <c r="C139" s="36">
        <v>0</v>
      </c>
      <c r="D139" s="37">
        <v>0</v>
      </c>
      <c r="E139" s="37">
        <v>0</v>
      </c>
      <c r="F139" s="37">
        <v>0</v>
      </c>
      <c r="G139" s="38" t="str">
        <f>'[1]1º TRIMESTRE'!G139</f>
        <v>08.135.535/0001-81</v>
      </c>
      <c r="H139" s="38" t="str">
        <f>'[1]1º TRIMESTRE'!H139</f>
        <v>CONSTRUTORA FJ LTDA</v>
      </c>
      <c r="I139" s="37" t="str">
        <f>'[1]1º TRIMESTRE'!I139</f>
        <v>6-012/24</v>
      </c>
      <c r="J139" s="39">
        <f>'[1]1º TRIMESTRE'!J139</f>
        <v>45358</v>
      </c>
      <c r="K139" s="40">
        <f>'[1]1º TRIMESTRE'!K139</f>
        <v>210</v>
      </c>
      <c r="L139" s="37">
        <f>'[1]1º TRIMESTRE'!L139</f>
        <v>2359459.92</v>
      </c>
      <c r="M139" s="39">
        <f t="shared" si="2"/>
        <v>45568</v>
      </c>
      <c r="N139" s="41">
        <f>'[1]1º TRIMESTRE'!N139</f>
        <v>0</v>
      </c>
      <c r="O139" s="42">
        <f>'[1]1º TRIMESTRE'!O139</f>
        <v>0</v>
      </c>
      <c r="P139" s="37">
        <f>'[1]1º TRIMESTRE'!P139</f>
        <v>0</v>
      </c>
      <c r="Q139" s="37" t="str">
        <f>'[1]1º TRIMESTRE'!Q139</f>
        <v>3.3.90.39</v>
      </c>
      <c r="R139" s="42">
        <f>'[1]1º TRIMESTRE'!R139+499134.79</f>
        <v>499134.79</v>
      </c>
      <c r="S139" s="44">
        <v>499134.79</v>
      </c>
      <c r="T139" s="42">
        <f>'[1]1º TRIMESTRE'!T139+S139</f>
        <v>499134.79</v>
      </c>
      <c r="U139" s="42">
        <f>'[1]1º TRIMESTRE'!U139+S139</f>
        <v>499134.79</v>
      </c>
      <c r="V139" s="37" t="s">
        <v>47</v>
      </c>
    </row>
    <row r="140" spans="1:22" ht="54" customHeight="1" x14ac:dyDescent="0.25">
      <c r="A140" s="35" t="str">
        <f>'[1]1º TRIMESTRE'!A140</f>
        <v>TOMADA DE PREÇOS Licitação: 017/2023</v>
      </c>
      <c r="B140" s="35" t="str">
        <f>'[1]1º TRIMESTRE'!B140</f>
        <v>CONTRATAÇÃO DE CONSULTÓRIA PARA DESENVOLVIMENTO DE MISTURAS DE REAPROVEITAMENTO DE MATERIAL FRESADO, EM CAMADAS DE BASE E SUB-BASE E REVESTIMENTO DE PAVIMENTOS ASFALTICOS NA CIDADE DO RECIFE - PE</v>
      </c>
      <c r="C140" s="36">
        <v>0</v>
      </c>
      <c r="D140" s="37">
        <v>0</v>
      </c>
      <c r="E140" s="37">
        <v>0</v>
      </c>
      <c r="F140" s="37">
        <v>0</v>
      </c>
      <c r="G140" s="38" t="str">
        <f>'[1]1º TRIMESTRE'!G140</f>
        <v>32.636.403/0001-18</v>
      </c>
      <c r="H140" s="38" t="str">
        <f>'[1]1º TRIMESTRE'!H140</f>
        <v>STONE CONSULTORIA &amp; PROJETOS LTDA</v>
      </c>
      <c r="I140" s="37" t="str">
        <f>'[1]1º TRIMESTRE'!I140</f>
        <v>6-013/24</v>
      </c>
      <c r="J140" s="39">
        <f>'[1]1º TRIMESTRE'!J140</f>
        <v>45328</v>
      </c>
      <c r="K140" s="40">
        <f>'[1]1º TRIMESTRE'!K140</f>
        <v>210</v>
      </c>
      <c r="L140" s="37">
        <f>'[1]1º TRIMESTRE'!L140</f>
        <v>786794.83</v>
      </c>
      <c r="M140" s="39">
        <f t="shared" si="2"/>
        <v>45538</v>
      </c>
      <c r="N140" s="41">
        <f>'[1]1º TRIMESTRE'!N140</f>
        <v>0</v>
      </c>
      <c r="O140" s="42">
        <f>'[1]1º TRIMESTRE'!O140</f>
        <v>0</v>
      </c>
      <c r="P140" s="37">
        <f>'[1]1º TRIMESTRE'!P140</f>
        <v>0</v>
      </c>
      <c r="Q140" s="37" t="str">
        <f>'[1]1º TRIMESTRE'!Q140</f>
        <v>3.3.90.39</v>
      </c>
      <c r="R140" s="42">
        <f>'[1]1º TRIMESTRE'!R140+74318.03</f>
        <v>74318.03</v>
      </c>
      <c r="S140" s="42">
        <v>74318.03</v>
      </c>
      <c r="T140" s="42">
        <f>'[1]1º TRIMESTRE'!T140+S140</f>
        <v>74318.03</v>
      </c>
      <c r="U140" s="42">
        <f>'[1]1º TRIMESTRE'!U140+S140</f>
        <v>74318.03</v>
      </c>
      <c r="V140" s="37" t="str">
        <f>'[1]1º TRIMESTRE'!V140</f>
        <v>andamento</v>
      </c>
    </row>
    <row r="141" spans="1:22" ht="50.25" customHeight="1" x14ac:dyDescent="0.25">
      <c r="A141" s="35" t="str">
        <f>'[1]1º TRIMESTRE'!A141</f>
        <v>CONCORRÊNCIA Licitação: 037/2023</v>
      </c>
      <c r="B141" s="35" t="str">
        <f>'[1]1º TRIMESTRE'!B141</f>
        <v>SERVIÇOS DE MANUTENÇÃO E/OU INSTALAÇÕES DE EQUIPAMENTOS/BRINQUEDOS EM MADEIRAS E/OU AÇO, INSTALADOS EM PARQUES, PRAÇAS E ÁREAS VERDES DA CIDADE DO RECIFE</v>
      </c>
      <c r="C141" s="36">
        <v>0</v>
      </c>
      <c r="D141" s="37">
        <v>0</v>
      </c>
      <c r="E141" s="37">
        <v>0</v>
      </c>
      <c r="F141" s="37">
        <v>0</v>
      </c>
      <c r="G141" s="38" t="str">
        <f>'[1]1º TRIMESTRE'!G141</f>
        <v>06.157.352/0001-31</v>
      </c>
      <c r="H141" s="38" t="str">
        <f>'[1]1º TRIMESTRE'!H141</f>
        <v>JAIR SOUZA DE LIMA SERVICOS E CONSTRUCOES LTDA</v>
      </c>
      <c r="I141" s="37" t="str">
        <f>'[1]1º TRIMESTRE'!I141</f>
        <v>6-014/24</v>
      </c>
      <c r="J141" s="39">
        <f>'[1]1º TRIMESTRE'!J141</f>
        <v>45356</v>
      </c>
      <c r="K141" s="40">
        <f>'[1]1º TRIMESTRE'!K141</f>
        <v>760</v>
      </c>
      <c r="L141" s="37">
        <f>'[1]1º TRIMESTRE'!L141</f>
        <v>3456461.18</v>
      </c>
      <c r="M141" s="39">
        <f t="shared" si="2"/>
        <v>46116</v>
      </c>
      <c r="N141" s="41">
        <f>'[1]1º TRIMESTRE'!N141</f>
        <v>0</v>
      </c>
      <c r="O141" s="42">
        <f>'[1]1º TRIMESTRE'!O141</f>
        <v>0</v>
      </c>
      <c r="P141" s="37">
        <f>'[1]1º TRIMESTRE'!P141</f>
        <v>0</v>
      </c>
      <c r="Q141" s="37" t="str">
        <f>'[1]1º TRIMESTRE'!Q141</f>
        <v>3.3.90.39</v>
      </c>
      <c r="R141" s="42">
        <f>'[1]1º TRIMESTRE'!R141+466293.5</f>
        <v>466293.5</v>
      </c>
      <c r="S141" s="42">
        <v>466293.5</v>
      </c>
      <c r="T141" s="42">
        <f>'[1]1º TRIMESTRE'!T141+S141</f>
        <v>466293.5</v>
      </c>
      <c r="U141" s="42">
        <f>'[1]1º TRIMESTRE'!U141+S141</f>
        <v>466293.5</v>
      </c>
      <c r="V141" s="37" t="str">
        <f>'[1]1º TRIMESTRE'!V141</f>
        <v>andamento</v>
      </c>
    </row>
    <row r="142" spans="1:22" ht="51" customHeight="1" x14ac:dyDescent="0.25">
      <c r="A142" s="35" t="str">
        <f>'[1]1º TRIMESTRE'!A142</f>
        <v>CONCORRÊNCIA Licitação: 028/2023</v>
      </c>
      <c r="B142" s="35" t="str">
        <f>'[1]1º TRIMESTRE'!B142</f>
        <v>EXECUÇÃO DE OBRAS DE IMPLANTAÇÃO DE DRENAGEM PLUVIAL E PAVIMENTAÇÃO DE RUAS, LOTE I : REVESTIMENTO EM CBUQ, NA CIDADE DO RECIFE - PE</v>
      </c>
      <c r="C142" s="36">
        <v>0</v>
      </c>
      <c r="D142" s="37">
        <v>0</v>
      </c>
      <c r="E142" s="37">
        <v>0</v>
      </c>
      <c r="F142" s="37">
        <v>0</v>
      </c>
      <c r="G142" s="38" t="str">
        <f>'[1]1º TRIMESTRE'!G142</f>
        <v>02.724.778/0001-79</v>
      </c>
      <c r="H142" s="38" t="str">
        <f>'[1]1º TRIMESTRE'!H142</f>
        <v>UNITERRA - UNIAO TERRAPLENAGEM E CONSTRUCOES LTDA</v>
      </c>
      <c r="I142" s="37" t="str">
        <f>'[1]1º TRIMESTRE'!I142</f>
        <v>6-015/24</v>
      </c>
      <c r="J142" s="39">
        <f>'[1]1º TRIMESTRE'!J142</f>
        <v>45365</v>
      </c>
      <c r="K142" s="40">
        <f>'[1]1º TRIMESTRE'!K142</f>
        <v>270</v>
      </c>
      <c r="L142" s="37">
        <f>'[1]1º TRIMESTRE'!L142</f>
        <v>6560114.3499999996</v>
      </c>
      <c r="M142" s="39">
        <f t="shared" si="2"/>
        <v>45635</v>
      </c>
      <c r="N142" s="41">
        <f>'[1]1º TRIMESTRE'!N142</f>
        <v>0</v>
      </c>
      <c r="O142" s="42">
        <f>'[1]1º TRIMESTRE'!O142</f>
        <v>0</v>
      </c>
      <c r="P142" s="37">
        <f>'[1]1º TRIMESTRE'!P142</f>
        <v>0</v>
      </c>
      <c r="Q142" s="37" t="str">
        <f>'[1]1º TRIMESTRE'!Q142</f>
        <v>3.3.90.39</v>
      </c>
      <c r="R142" s="42">
        <f>'[1]1º TRIMESTRE'!R142+1196318.17</f>
        <v>1196318.17</v>
      </c>
      <c r="S142" s="42">
        <v>807152.79</v>
      </c>
      <c r="T142" s="42">
        <f>'[1]1º TRIMESTRE'!T142+S142</f>
        <v>807152.79</v>
      </c>
      <c r="U142" s="42">
        <f>'[1]1º TRIMESTRE'!U142+S142</f>
        <v>807152.79</v>
      </c>
      <c r="V142" s="37" t="str">
        <f>'[1]1º TRIMESTRE'!V142</f>
        <v>cadastrado</v>
      </c>
    </row>
    <row r="143" spans="1:22" ht="44.25" customHeight="1" x14ac:dyDescent="0.25">
      <c r="A143" s="35" t="str">
        <f>'[1]1º TRIMESTRE'!A143</f>
        <v>CONCORRÊNCIA Licitação: 028/2023</v>
      </c>
      <c r="B143" s="35" t="str">
        <f>'[1]1º TRIMESTRE'!B143</f>
        <v>EXECUÇÃO DE OBRAS DE IMPLANTAÇÃO DE DRENAGEM PLUVIAL E PAVIMENTAÇÃO DE RUAS, LOTE II : REVESTIMENTO EM PARALELEPÍPEDO E INTERTRAVADO, NA CIDADE DO RECIFE - PE</v>
      </c>
      <c r="C143" s="36">
        <v>0</v>
      </c>
      <c r="D143" s="37">
        <v>0</v>
      </c>
      <c r="E143" s="37">
        <v>0</v>
      </c>
      <c r="F143" s="37">
        <v>0</v>
      </c>
      <c r="G143" s="38" t="str">
        <f>'[1]1º TRIMESTRE'!G143</f>
        <v>08.135.535/0001-81</v>
      </c>
      <c r="H143" s="38" t="str">
        <f>'[1]1º TRIMESTRE'!H143</f>
        <v>CONSTRUTORA FJ LTDA</v>
      </c>
      <c r="I143" s="37" t="str">
        <f>'[1]1º TRIMESTRE'!I143</f>
        <v>6-016/24</v>
      </c>
      <c r="J143" s="39">
        <f>'[1]1º TRIMESTRE'!J143</f>
        <v>45359</v>
      </c>
      <c r="K143" s="40">
        <f>'[1]1º TRIMESTRE'!K143</f>
        <v>270</v>
      </c>
      <c r="L143" s="37">
        <f>'[1]1º TRIMESTRE'!L143</f>
        <v>2816415.47</v>
      </c>
      <c r="M143" s="39">
        <f t="shared" si="2"/>
        <v>45629</v>
      </c>
      <c r="N143" s="41">
        <f>'[1]1º TRIMESTRE'!N143</f>
        <v>0</v>
      </c>
      <c r="O143" s="42">
        <f>'[1]1º TRIMESTRE'!O143</f>
        <v>0</v>
      </c>
      <c r="P143" s="37">
        <f>'[1]1º TRIMESTRE'!P143</f>
        <v>0</v>
      </c>
      <c r="Q143" s="37" t="str">
        <f>'[1]1º TRIMESTRE'!Q143</f>
        <v>3.3.90.39</v>
      </c>
      <c r="R143" s="42">
        <f>'[1]1º TRIMESTRE'!R143+734063.78</f>
        <v>734063.78</v>
      </c>
      <c r="S143" s="44">
        <v>456928.97</v>
      </c>
      <c r="T143" s="42">
        <f>'[1]1º TRIMESTRE'!T143+S143</f>
        <v>456928.97</v>
      </c>
      <c r="U143" s="42">
        <f>'[1]1º TRIMESTRE'!U143+S143</f>
        <v>456928.97</v>
      </c>
      <c r="V143" s="37" t="str">
        <f>'[1]1º TRIMESTRE'!V143</f>
        <v>andamento</v>
      </c>
    </row>
    <row r="144" spans="1:22" ht="48.75" customHeight="1" x14ac:dyDescent="0.25">
      <c r="A144" s="35" t="str">
        <f>'[1]1º TRIMESTRE'!A144</f>
        <v>PREGÃO ELETRÔNICO Licitação: 007/2023</v>
      </c>
      <c r="B144" s="35" t="str">
        <f>'[1]1º TRIMESTRE'!B144</f>
        <v>FORNECER E INSTALAR ALAMBRADOS E PISO FULGET VISANDO ATENDER A DEMANDA DE MANUTENÇÃO DE PARQUES, PRAÇAS E ÁREAS VERDES NA CIDADE DO RECIFE (SEI. 15.000886/2024-16)</v>
      </c>
      <c r="C144" s="36">
        <v>0</v>
      </c>
      <c r="D144" s="37">
        <v>0</v>
      </c>
      <c r="E144" s="37">
        <v>0</v>
      </c>
      <c r="F144" s="37">
        <v>0</v>
      </c>
      <c r="G144" s="38" t="str">
        <f>'[1]1º TRIMESTRE'!G144</f>
        <v>08.135.535/0001-81</v>
      </c>
      <c r="H144" s="38" t="str">
        <f>'[1]1º TRIMESTRE'!H144</f>
        <v>CONSTRUTORA FJ LTDA</v>
      </c>
      <c r="I144" s="37" t="str">
        <f>'[1]1º TRIMESTRE'!I144</f>
        <v>6-017/24</v>
      </c>
      <c r="J144" s="39">
        <f>'[1]1º TRIMESTRE'!J144</f>
        <v>1</v>
      </c>
      <c r="K144" s="40">
        <f>'[1]1º TRIMESTRE'!K144</f>
        <v>365</v>
      </c>
      <c r="L144" s="37">
        <f>'[1]1º TRIMESTRE'!L144</f>
        <v>3815824.95</v>
      </c>
      <c r="M144" s="39">
        <f t="shared" si="2"/>
        <v>366</v>
      </c>
      <c r="N144" s="41">
        <f>'[1]1º TRIMESTRE'!N144</f>
        <v>0</v>
      </c>
      <c r="O144" s="42">
        <f>'[1]1º TRIMESTRE'!O144</f>
        <v>0</v>
      </c>
      <c r="P144" s="37">
        <f>'[1]1º TRIMESTRE'!P144</f>
        <v>0</v>
      </c>
      <c r="Q144" s="37" t="str">
        <f>'[1]1º TRIMESTRE'!Q144</f>
        <v>3.3.90.39</v>
      </c>
      <c r="R144" s="42">
        <f>'[1]1º TRIMESTRE'!R144+399995.87</f>
        <v>399995.87</v>
      </c>
      <c r="S144" s="42"/>
      <c r="T144" s="42">
        <f>'[1]1º TRIMESTRE'!T144+S144</f>
        <v>0</v>
      </c>
      <c r="U144" s="42">
        <f>'[1]1º TRIMESTRE'!U144+S144</f>
        <v>0</v>
      </c>
      <c r="V144" s="37" t="s">
        <v>47</v>
      </c>
    </row>
    <row r="145" spans="1:22" ht="42.75" customHeight="1" x14ac:dyDescent="0.25">
      <c r="A145" s="35" t="str">
        <f>'[1]1º TRIMESTRE'!A145</f>
        <v>PREGÃO ELETRÔNICO Licitação: 039/2023</v>
      </c>
      <c r="B145" s="35" t="str">
        <f>'[1]1º TRIMESTRE'!B145</f>
        <v>EXECUÇÃO DOS SERVIÇOS DE IMPLANTAÇÃO DE CABEAMENTO ESTRUTURADO E DA REDE ELÉTRICA ESTABILIZADA EM 110V DO 1° PAVIMENTO E 2° PAVIMENTO DO BOLOCO A DA SEDE DA EMLURB. (15.0107771/2023-18)</v>
      </c>
      <c r="C145" s="36">
        <v>0</v>
      </c>
      <c r="D145" s="37">
        <v>0</v>
      </c>
      <c r="E145" s="37">
        <v>0</v>
      </c>
      <c r="F145" s="37">
        <v>0</v>
      </c>
      <c r="G145" s="38" t="str">
        <f>'[1]1º TRIMESTRE'!G145</f>
        <v>32.185.141/0001-12</v>
      </c>
      <c r="H145" s="38" t="str">
        <f>'[1]1º TRIMESTRE'!H145</f>
        <v>CASTRO &amp; ROCHA LTDA</v>
      </c>
      <c r="I145" s="37" t="str">
        <f>'[1]1º TRIMESTRE'!I145</f>
        <v>6-018/24</v>
      </c>
      <c r="J145" s="39">
        <f>'[1]1º TRIMESTRE'!J145</f>
        <v>1</v>
      </c>
      <c r="K145" s="40">
        <f>'[1]1º TRIMESTRE'!K145</f>
        <v>120</v>
      </c>
      <c r="L145" s="37">
        <f>'[1]1º TRIMESTRE'!L145</f>
        <v>629704</v>
      </c>
      <c r="M145" s="39">
        <f t="shared" si="2"/>
        <v>121</v>
      </c>
      <c r="N145" s="41">
        <f>'[1]1º TRIMESTRE'!N145</f>
        <v>0</v>
      </c>
      <c r="O145" s="42">
        <f>'[1]1º TRIMESTRE'!O145</f>
        <v>0</v>
      </c>
      <c r="P145" s="37">
        <f>'[1]1º TRIMESTRE'!P145</f>
        <v>0</v>
      </c>
      <c r="Q145" s="37" t="str">
        <f>'[1]1º TRIMESTRE'!Q145</f>
        <v>3.3.90.39</v>
      </c>
      <c r="R145" s="42">
        <f>'[1]1º TRIMESTRE'!R145</f>
        <v>0</v>
      </c>
      <c r="S145" s="42"/>
      <c r="T145" s="42">
        <f>'[1]1º TRIMESTRE'!T145+S145</f>
        <v>0</v>
      </c>
      <c r="U145" s="42">
        <f>'[1]1º TRIMESTRE'!U145+S145</f>
        <v>0</v>
      </c>
      <c r="V145" s="37" t="str">
        <f>'[1]1º TRIMESTRE'!V145</f>
        <v>em elaboração</v>
      </c>
    </row>
    <row r="146" spans="1:22" ht="39.75" customHeight="1" x14ac:dyDescent="0.25">
      <c r="A146" s="35" t="str">
        <f>'[1]1º TRIMESTRE'!A146</f>
        <v>PREGÃO ELETRÔNICO Licitação: 044/2023</v>
      </c>
      <c r="B146" s="35" t="str">
        <f>'[1]1º TRIMESTRE'!B146</f>
        <v>CONTRATAÇÃO DE EMPRESA ESPECIALIZADA PARA REALIZAÇÃO DE ENSAIOS INVESTIGATIVOS DE PATOLOGIAS E EMISSÃO DE LAUDO TÉCNICO PARA A PONTE JOSÉ DE BARROS LIMA, LOCALIZADA NO BAIRRO DE JOANA BEZERRA, RECIFE - PE  (15.011468/2023-65)</v>
      </c>
      <c r="C146" s="36">
        <v>0</v>
      </c>
      <c r="D146" s="37">
        <v>0</v>
      </c>
      <c r="E146" s="37">
        <v>0</v>
      </c>
      <c r="F146" s="37">
        <v>0</v>
      </c>
      <c r="G146" s="38" t="str">
        <f>'[1]1º TRIMESTRE'!G146</f>
        <v>41.012.964/0001-37</v>
      </c>
      <c r="H146" s="38" t="str">
        <f>'[1]1º TRIMESTRE'!H146</f>
        <v>TECOMAT ENGENHARIA LTDA</v>
      </c>
      <c r="I146" s="37" t="str">
        <f>'[1]1º TRIMESTRE'!I146</f>
        <v>6-019/24</v>
      </c>
      <c r="J146" s="39">
        <f>'[1]1º TRIMESTRE'!J146</f>
        <v>45377</v>
      </c>
      <c r="K146" s="40">
        <f>'[1]1º TRIMESTRE'!K146</f>
        <v>120</v>
      </c>
      <c r="L146" s="37">
        <f>'[1]1º TRIMESTRE'!L146</f>
        <v>119999.8</v>
      </c>
      <c r="M146" s="39">
        <f t="shared" si="2"/>
        <v>45497</v>
      </c>
      <c r="N146" s="41">
        <f>'[1]1º TRIMESTRE'!N146</f>
        <v>0</v>
      </c>
      <c r="O146" s="42">
        <f>'[1]1º TRIMESTRE'!O146</f>
        <v>0</v>
      </c>
      <c r="P146" s="37">
        <f>'[1]1º TRIMESTRE'!P146</f>
        <v>0</v>
      </c>
      <c r="Q146" s="37" t="str">
        <f>'[1]1º TRIMESTRE'!Q146</f>
        <v>3.3.90.39</v>
      </c>
      <c r="R146" s="42">
        <f>'[1]1º TRIMESTRE'!R146</f>
        <v>0</v>
      </c>
      <c r="S146" s="42"/>
      <c r="T146" s="42">
        <f>'[1]1º TRIMESTRE'!T146+S146</f>
        <v>0</v>
      </c>
      <c r="U146" s="42">
        <f>'[1]1º TRIMESTRE'!U146+S146</f>
        <v>0</v>
      </c>
      <c r="V146" s="37" t="str">
        <f>'[1]1º TRIMESTRE'!V146</f>
        <v>andamento</v>
      </c>
    </row>
    <row r="147" spans="1:22" ht="60.75" customHeight="1" x14ac:dyDescent="0.25">
      <c r="A147" s="35" t="str">
        <f>'[1]1º TRIMESTRE'!A147</f>
        <v>TOMADA DE PREÇOS Licitação: 010/2023</v>
      </c>
      <c r="B147" s="35" t="str">
        <f>'[1]1º TRIMESTRE'!B147</f>
        <v>REQUALIFICAÇÃO DE INFRESTRUTURA DE DRENAGEM PLUVIAL, PAVIMENTAÇÃO, IMPLANTAÇÃO DE SISTEMA DE ABASTECUMENTO DE ÁGUA, ESGOTAMENTO ANITÁRIO E ILUMINAÇÃO PÚBLICA DA RUA BERNARDO GUIMARÃES, BAIRRO DE SANTO AMARO, RECIFE - PE</v>
      </c>
      <c r="C147" s="36">
        <v>0</v>
      </c>
      <c r="D147" s="37">
        <v>0</v>
      </c>
      <c r="E147" s="37">
        <v>0</v>
      </c>
      <c r="F147" s="37">
        <v>0</v>
      </c>
      <c r="G147" s="38" t="str">
        <f>'[1]1º TRIMESTRE'!G147</f>
        <v>08.135.535/0001-81</v>
      </c>
      <c r="H147" s="38" t="str">
        <f>'[1]1º TRIMESTRE'!H147</f>
        <v>CONSTRUTORA FJ LTDA</v>
      </c>
      <c r="I147" s="37" t="str">
        <f>'[1]1º TRIMESTRE'!I147</f>
        <v>6-020/24</v>
      </c>
      <c r="J147" s="39">
        <f>'[1]1º TRIMESTRE'!J147</f>
        <v>1</v>
      </c>
      <c r="K147" s="40">
        <f>'[1]1º TRIMESTRE'!K147</f>
        <v>760</v>
      </c>
      <c r="L147" s="37">
        <f>'[1]1º TRIMESTRE'!L147</f>
        <v>1709485.55</v>
      </c>
      <c r="M147" s="39">
        <f t="shared" si="2"/>
        <v>761</v>
      </c>
      <c r="N147" s="41">
        <f>'[1]1º TRIMESTRE'!N147</f>
        <v>0</v>
      </c>
      <c r="O147" s="42">
        <f>'[1]1º TRIMESTRE'!O147</f>
        <v>0</v>
      </c>
      <c r="P147" s="37">
        <f>'[1]1º TRIMESTRE'!P147</f>
        <v>0</v>
      </c>
      <c r="Q147" s="37" t="str">
        <f>'[1]1º TRIMESTRE'!Q147</f>
        <v>3.3.90.39</v>
      </c>
      <c r="R147" s="42">
        <f>'[1]1º TRIMESTRE'!R147</f>
        <v>0</v>
      </c>
      <c r="S147" s="42"/>
      <c r="T147" s="42">
        <f>'[1]1º TRIMESTRE'!T147+S147</f>
        <v>0</v>
      </c>
      <c r="U147" s="42">
        <f>'[1]1º TRIMESTRE'!U147+S147</f>
        <v>0</v>
      </c>
      <c r="V147" s="37" t="str">
        <f>'[1]1º TRIMESTRE'!V147</f>
        <v>em elaboração</v>
      </c>
    </row>
    <row r="148" spans="1:22" ht="64.5" customHeight="1" x14ac:dyDescent="0.25">
      <c r="A148" s="35" t="str">
        <f>'[1]1º TRIMESTRE'!A148</f>
        <v>CONCORRÊNCIA Licitação: 042/2023</v>
      </c>
      <c r="B148" s="35" t="str">
        <f>'[1]1º TRIMESTRE'!B148</f>
        <v>PRESTAÇÃO DE SERVIÇOS COMPLEMENTARES DE LIMPEZA URBANA EM ÁREAS DE MORROS, TALUDES, ALGUMAS ÁREAS PLANAS E SERVIÇOS DE MANUTENÇÃO CONTÍNUA, PREVENTIVA E CORRETIVA DE ARBORIZAÇÃO URBANA EM MORROS DA CIDADE DO RECIFE, INCLUINDO A LOCAÇÃO E EQUIPAMENTOS</v>
      </c>
      <c r="C148" s="36">
        <v>0</v>
      </c>
      <c r="D148" s="37">
        <v>0</v>
      </c>
      <c r="E148" s="37">
        <v>0</v>
      </c>
      <c r="F148" s="37">
        <v>0</v>
      </c>
      <c r="G148" s="38" t="str">
        <f>'[1]1º TRIMESTRE'!G148</f>
        <v>40.884.405/0001-54</v>
      </c>
      <c r="H148" s="38" t="str">
        <f>'[1]1º TRIMESTRE'!H148</f>
        <v>LOQUIPE LOCACAO DE EQUIPAMENTOS E MAO DE OBRA LTDA</v>
      </c>
      <c r="I148" s="37" t="str">
        <f>'[1]1º TRIMESTRE'!I148</f>
        <v>6-021/24</v>
      </c>
      <c r="J148" s="39">
        <f>'[1]1º TRIMESTRE'!J148</f>
        <v>1</v>
      </c>
      <c r="K148" s="40">
        <f>'[1]1º TRIMESTRE'!K148</f>
        <v>365</v>
      </c>
      <c r="L148" s="37">
        <f>'[1]1º TRIMESTRE'!L148</f>
        <v>20266855.800000001</v>
      </c>
      <c r="M148" s="39">
        <f t="shared" si="2"/>
        <v>366</v>
      </c>
      <c r="N148" s="41">
        <f>'[1]1º TRIMESTRE'!N148</f>
        <v>0</v>
      </c>
      <c r="O148" s="42">
        <f>'[1]1º TRIMESTRE'!O148</f>
        <v>0</v>
      </c>
      <c r="P148" s="37">
        <f>'[1]1º TRIMESTRE'!P148</f>
        <v>0</v>
      </c>
      <c r="Q148" s="37" t="str">
        <f>'[1]1º TRIMESTRE'!Q148</f>
        <v>3.3.90.39</v>
      </c>
      <c r="R148" s="42">
        <f>'[1]1º TRIMESTRE'!R148</f>
        <v>0</v>
      </c>
      <c r="S148" s="42"/>
      <c r="T148" s="42">
        <f>'[1]1º TRIMESTRE'!T148+S148</f>
        <v>0</v>
      </c>
      <c r="U148" s="42">
        <f>'[1]1º TRIMESTRE'!U148+S148</f>
        <v>0</v>
      </c>
      <c r="V148" s="37" t="str">
        <f>'[1]1º TRIMESTRE'!V148</f>
        <v>em elaboração</v>
      </c>
    </row>
    <row r="149" spans="1:22" ht="39.75" customHeight="1" x14ac:dyDescent="0.25">
      <c r="A149" s="35" t="str">
        <f>'[1]1º TRIMESTRE'!A149</f>
        <v>CONCORRÊNCIA Licitação: 030/2023</v>
      </c>
      <c r="B149" s="35" t="str">
        <f>'[1]1º TRIMESTRE'!B149</f>
        <v>CONTRATAÇÃO DE EMPRESA ESPECIALIZADA DE ENGENHARIA PARA EXECUÇÃO DOS SERVIÇOS DE MANUTENÇÃO DE CONTENÇÃO DE CANAIS, NAS DIVERSAS REGIÕES POLÍTICO ADMINISTRAÇÃO - RPA´S DA CIDADE DO RECIFE</v>
      </c>
      <c r="C149" s="36">
        <v>0</v>
      </c>
      <c r="D149" s="37">
        <v>0</v>
      </c>
      <c r="E149" s="37">
        <v>0</v>
      </c>
      <c r="F149" s="37">
        <v>0</v>
      </c>
      <c r="G149" s="38" t="str">
        <f>'[1]1º TRIMESTRE'!G149</f>
        <v>10.811.370/0001-62</v>
      </c>
      <c r="H149" s="38" t="str">
        <f>'[1]1º TRIMESTRE'!H149</f>
        <v>GUERRA CONSTRUCOES LTDA</v>
      </c>
      <c r="I149" s="37" t="str">
        <f>'[1]1º TRIMESTRE'!I149</f>
        <v>6-022/24</v>
      </c>
      <c r="J149" s="39">
        <f>'[1]1º TRIMESTRE'!J149</f>
        <v>45387</v>
      </c>
      <c r="K149" s="40">
        <f>'[1]1º TRIMESTRE'!K149</f>
        <v>810</v>
      </c>
      <c r="L149" s="37">
        <f>'[1]1º TRIMESTRE'!L149</f>
        <v>11271183.82</v>
      </c>
      <c r="M149" s="39">
        <f t="shared" si="2"/>
        <v>46197</v>
      </c>
      <c r="N149" s="41">
        <f>'[1]1º TRIMESTRE'!N149</f>
        <v>0</v>
      </c>
      <c r="O149" s="42">
        <f>'[1]1º TRIMESTRE'!O149</f>
        <v>0</v>
      </c>
      <c r="P149" s="37">
        <f>'[1]1º TRIMESTRE'!P149</f>
        <v>0</v>
      </c>
      <c r="Q149" s="37" t="str">
        <f>'[1]1º TRIMESTRE'!Q149</f>
        <v>3.3.90.39</v>
      </c>
      <c r="R149" s="42">
        <v>924102.86</v>
      </c>
      <c r="S149" s="44">
        <v>688466.54</v>
      </c>
      <c r="T149" s="42">
        <f>'[1]1º TRIMESTRE'!T149+S149</f>
        <v>688466.54</v>
      </c>
      <c r="U149" s="42">
        <f>'[1]1º TRIMESTRE'!U149+S149</f>
        <v>688466.54</v>
      </c>
      <c r="V149" s="37" t="s">
        <v>47</v>
      </c>
    </row>
    <row r="150" spans="1:22" ht="42" customHeight="1" x14ac:dyDescent="0.25">
      <c r="A150" s="35" t="str">
        <f>'[1]1º TRIMESTRE'!A150</f>
        <v>CONCORRÊNCIA Licitação: 031/2023</v>
      </c>
      <c r="B150" s="35" t="str">
        <f>'[1]1º TRIMESTRE'!B150</f>
        <v>EXECUÇÃO DOS SERVIÇOS DE IMPLANTAÇÃO DE DRENAGEM DE ÁGUAS PLUVIAIS E PAVIMENTAÇÃO EM PARALELEPÍPEDOS E INTERTRAVADOS EM CIMENTO, EM VIAS DE ÁREAS URBANIZADAS NA CIDADE DO RECIFE - PE</v>
      </c>
      <c r="C150" s="36">
        <v>0</v>
      </c>
      <c r="D150" s="37">
        <v>0</v>
      </c>
      <c r="E150" s="37">
        <v>0</v>
      </c>
      <c r="F150" s="37">
        <v>0</v>
      </c>
      <c r="G150" s="38" t="str">
        <f>'[1]1º TRIMESTRE'!G150</f>
        <v>08.135.535/0001-81</v>
      </c>
      <c r="H150" s="38" t="str">
        <f>'[1]1º TRIMESTRE'!H150</f>
        <v>CONSTRUTORA FJ LTDA</v>
      </c>
      <c r="I150" s="37" t="str">
        <f>'[1]1º TRIMESTRE'!I150</f>
        <v>6-023/24</v>
      </c>
      <c r="J150" s="39">
        <f>'[1]1º TRIMESTRE'!J150</f>
        <v>1</v>
      </c>
      <c r="K150" s="40">
        <f>'[1]1º TRIMESTRE'!K150</f>
        <v>210</v>
      </c>
      <c r="L150" s="37">
        <f>'[1]1º TRIMESTRE'!L150</f>
        <v>2953993.31</v>
      </c>
      <c r="M150" s="39">
        <f t="shared" si="2"/>
        <v>211</v>
      </c>
      <c r="N150" s="41">
        <f>'[1]1º TRIMESTRE'!N150</f>
        <v>0</v>
      </c>
      <c r="O150" s="42">
        <f>'[1]1º TRIMESTRE'!O150</f>
        <v>0</v>
      </c>
      <c r="P150" s="37">
        <f>'[1]1º TRIMESTRE'!P150</f>
        <v>0</v>
      </c>
      <c r="Q150" s="37" t="str">
        <f>'[1]1º TRIMESTRE'!Q150</f>
        <v>3.3.90.39</v>
      </c>
      <c r="R150" s="42">
        <f>'[1]1º TRIMESTRE'!R150</f>
        <v>0</v>
      </c>
      <c r="S150" s="42"/>
      <c r="T150" s="42">
        <f>'[1]1º TRIMESTRE'!T150+S150</f>
        <v>0</v>
      </c>
      <c r="U150" s="42">
        <f>'[1]1º TRIMESTRE'!U150+S150</f>
        <v>0</v>
      </c>
      <c r="V150" s="37" t="str">
        <f>'[1]1º TRIMESTRE'!V150</f>
        <v>em elaboração</v>
      </c>
    </row>
    <row r="151" spans="1:22" ht="42" customHeight="1" x14ac:dyDescent="0.25">
      <c r="A151" s="35" t="str">
        <f>'[1]1º TRIMESTRE'!A151</f>
        <v>TOMADA DE PREÇOS Licitação: 011/2023</v>
      </c>
      <c r="B151" s="35" t="str">
        <f>'[1]1º TRIMESTRE'!B151</f>
        <v>EXECUÇÃO DOS SERVIÇOS DE IMPLANTAÇÃO DE REDE DE DRENAGEM DE ÁGUAS PLUVIAIS E PAVIMENTAÇÃO EM PARALELEPÍPEDOS OU INTERTRAVADOS DE CIMENTO EM VIAS, EM ÁREAS URBANIZADAS DA CIDADE DO RECIFE</v>
      </c>
      <c r="C151" s="36">
        <v>0</v>
      </c>
      <c r="D151" s="37">
        <v>0</v>
      </c>
      <c r="E151" s="37">
        <v>0</v>
      </c>
      <c r="F151" s="37">
        <v>0</v>
      </c>
      <c r="G151" s="38" t="str">
        <f>'[1]1º TRIMESTRE'!G151</f>
        <v>08.135.535/0001-81</v>
      </c>
      <c r="H151" s="38" t="str">
        <f>'[1]1º TRIMESTRE'!H151</f>
        <v>CONSTRUTORA FJ LTDA</v>
      </c>
      <c r="I151" s="37" t="str">
        <f>'[1]1º TRIMESTRE'!I151</f>
        <v>6-025/24</v>
      </c>
      <c r="J151" s="39">
        <f>'[1]1º TRIMESTRE'!J151</f>
        <v>1</v>
      </c>
      <c r="K151" s="40">
        <f>'[1]1º TRIMESTRE'!K151</f>
        <v>210</v>
      </c>
      <c r="L151" s="37">
        <f>'[1]1º TRIMESTRE'!L151</f>
        <v>1475947.39</v>
      </c>
      <c r="M151" s="39">
        <f t="shared" si="2"/>
        <v>211</v>
      </c>
      <c r="N151" s="41">
        <f>'[1]1º TRIMESTRE'!N151</f>
        <v>0</v>
      </c>
      <c r="O151" s="42">
        <f>'[1]1º TRIMESTRE'!O151</f>
        <v>0</v>
      </c>
      <c r="P151" s="37">
        <f>'[1]1º TRIMESTRE'!P151</f>
        <v>0</v>
      </c>
      <c r="Q151" s="37" t="str">
        <f>'[1]1º TRIMESTRE'!Q151</f>
        <v>3.3.90.39</v>
      </c>
      <c r="R151" s="42">
        <f>'[1]1º TRIMESTRE'!R151</f>
        <v>0</v>
      </c>
      <c r="S151" s="42"/>
      <c r="T151" s="42">
        <f>'[1]1º TRIMESTRE'!T151+S151</f>
        <v>0</v>
      </c>
      <c r="U151" s="42">
        <f>'[1]1º TRIMESTRE'!U151+S151</f>
        <v>0</v>
      </c>
      <c r="V151" s="37" t="str">
        <f>'[1]1º TRIMESTRE'!V151</f>
        <v>em elaboração</v>
      </c>
    </row>
    <row r="152" spans="1:22" ht="43.5" customHeight="1" x14ac:dyDescent="0.25">
      <c r="A152" s="35" t="s">
        <v>48</v>
      </c>
      <c r="B152" s="35" t="s">
        <v>49</v>
      </c>
      <c r="C152" s="36">
        <v>0</v>
      </c>
      <c r="D152" s="37">
        <v>0</v>
      </c>
      <c r="E152" s="37">
        <v>0</v>
      </c>
      <c r="F152" s="37">
        <v>0</v>
      </c>
      <c r="G152" s="45" t="s">
        <v>50</v>
      </c>
      <c r="H152" s="45" t="s">
        <v>51</v>
      </c>
      <c r="I152" s="37" t="s">
        <v>52</v>
      </c>
      <c r="J152" s="39">
        <f>'[1]1º TRIMESTRE'!J152</f>
        <v>1</v>
      </c>
      <c r="K152" s="40">
        <f>'[1]1º TRIMESTRE'!K152</f>
        <v>420</v>
      </c>
      <c r="L152" s="37">
        <f>'[1]1º TRIMESTRE'!L152</f>
        <v>7636142.0800000001</v>
      </c>
      <c r="M152" s="39">
        <f t="shared" si="2"/>
        <v>421</v>
      </c>
      <c r="N152" s="41">
        <f>'[1]1º TRIMESTRE'!N152</f>
        <v>0</v>
      </c>
      <c r="O152" s="42">
        <f>'[1]1º TRIMESTRE'!O152</f>
        <v>0</v>
      </c>
      <c r="P152" s="37">
        <f>'[1]1º TRIMESTRE'!P152</f>
        <v>0</v>
      </c>
      <c r="Q152" s="37" t="str">
        <f>'[1]1º TRIMESTRE'!Q152</f>
        <v>3.3.90.39</v>
      </c>
      <c r="R152" s="44">
        <v>172701.5</v>
      </c>
      <c r="S152" s="42">
        <v>172701.5</v>
      </c>
      <c r="T152" s="42">
        <f>'[1]1º TRIMESTRE'!T152+S152</f>
        <v>172701.5</v>
      </c>
      <c r="U152" s="42">
        <f>'[1]1º TRIMESTRE'!U152+S152</f>
        <v>172701.5</v>
      </c>
      <c r="V152" s="37" t="s">
        <v>47</v>
      </c>
    </row>
    <row r="153" spans="1:22" ht="45.75" customHeight="1" x14ac:dyDescent="0.25">
      <c r="A153" s="35" t="s">
        <v>53</v>
      </c>
      <c r="B153" s="35" t="s">
        <v>54</v>
      </c>
      <c r="C153" s="36" t="s">
        <v>35</v>
      </c>
      <c r="D153" s="37" t="s">
        <v>36</v>
      </c>
      <c r="E153" s="37">
        <v>0</v>
      </c>
      <c r="F153" s="37">
        <v>0</v>
      </c>
      <c r="G153" s="35" t="s">
        <v>55</v>
      </c>
      <c r="H153" s="45" t="s">
        <v>56</v>
      </c>
      <c r="I153" s="37" t="s">
        <v>57</v>
      </c>
      <c r="J153" s="46">
        <v>45420</v>
      </c>
      <c r="K153" s="40">
        <v>210</v>
      </c>
      <c r="L153" s="47">
        <v>1815098.22</v>
      </c>
      <c r="M153" s="39">
        <f t="shared" si="2"/>
        <v>45630</v>
      </c>
      <c r="N153" s="41">
        <f>'[1]1º TRIMESTRE'!N153</f>
        <v>0</v>
      </c>
      <c r="O153" s="42">
        <f>'[1]1º TRIMESTRE'!O153</f>
        <v>0</v>
      </c>
      <c r="P153" s="37">
        <f>'[1]1º TRIMESTRE'!P153</f>
        <v>0</v>
      </c>
      <c r="Q153" s="37" t="s">
        <v>58</v>
      </c>
      <c r="R153" s="44">
        <v>154031.1</v>
      </c>
      <c r="S153" s="42"/>
      <c r="T153" s="42">
        <f>'[1]1º TRIMESTRE'!T153+S153</f>
        <v>0</v>
      </c>
      <c r="U153" s="42">
        <f>'[1]1º TRIMESTRE'!U153+S153</f>
        <v>0</v>
      </c>
      <c r="V153" s="37" t="s">
        <v>47</v>
      </c>
    </row>
    <row r="154" spans="1:22" ht="47.25" customHeight="1" x14ac:dyDescent="0.25">
      <c r="A154" s="35" t="s">
        <v>59</v>
      </c>
      <c r="B154" s="35" t="s">
        <v>60</v>
      </c>
      <c r="C154" s="36" t="s">
        <v>35</v>
      </c>
      <c r="D154" s="37" t="s">
        <v>36</v>
      </c>
      <c r="E154" s="37">
        <v>0</v>
      </c>
      <c r="F154" s="37">
        <v>0</v>
      </c>
      <c r="G154" s="35" t="s">
        <v>61</v>
      </c>
      <c r="H154" s="45" t="s">
        <v>62</v>
      </c>
      <c r="I154" s="37" t="s">
        <v>63</v>
      </c>
      <c r="J154" s="46">
        <v>45401</v>
      </c>
      <c r="K154" s="40">
        <v>570</v>
      </c>
      <c r="L154" s="47">
        <v>9057125.9800000004</v>
      </c>
      <c r="M154" s="39">
        <f t="shared" si="2"/>
        <v>45971</v>
      </c>
      <c r="N154" s="41">
        <f>'[1]1º TRIMESTRE'!N154</f>
        <v>0</v>
      </c>
      <c r="O154" s="42">
        <f>'[1]1º TRIMESTRE'!O154</f>
        <v>0</v>
      </c>
      <c r="P154" s="37">
        <f>'[1]1º TRIMESTRE'!P154</f>
        <v>0</v>
      </c>
      <c r="Q154" s="37" t="s">
        <v>58</v>
      </c>
      <c r="R154" s="48"/>
      <c r="S154" s="49"/>
      <c r="T154" s="42">
        <f>'[1]1º TRIMESTRE'!T154+S154</f>
        <v>0</v>
      </c>
      <c r="U154" s="42">
        <f>'[1]1º TRIMESTRE'!U154+S154</f>
        <v>0</v>
      </c>
      <c r="V154" s="37" t="s">
        <v>47</v>
      </c>
    </row>
    <row r="155" spans="1:22" ht="60" customHeight="1" x14ac:dyDescent="0.25">
      <c r="A155" s="35" t="s">
        <v>64</v>
      </c>
      <c r="B155" s="35" t="s">
        <v>65</v>
      </c>
      <c r="C155" s="36">
        <v>0</v>
      </c>
      <c r="D155" s="37">
        <v>0</v>
      </c>
      <c r="E155" s="37">
        <v>0</v>
      </c>
      <c r="F155" s="37">
        <v>0</v>
      </c>
      <c r="G155" s="35" t="s">
        <v>66</v>
      </c>
      <c r="H155" s="45" t="s">
        <v>67</v>
      </c>
      <c r="I155" s="37" t="s">
        <v>68</v>
      </c>
      <c r="J155" s="46">
        <v>45401</v>
      </c>
      <c r="K155" s="40">
        <v>210</v>
      </c>
      <c r="L155" s="47">
        <v>2035037.71</v>
      </c>
      <c r="M155" s="39">
        <f t="shared" si="2"/>
        <v>45611</v>
      </c>
      <c r="N155" s="41">
        <f>'[1]1º TRIMESTRE'!N155</f>
        <v>0</v>
      </c>
      <c r="O155" s="42">
        <f>'[1]1º TRIMESTRE'!O155</f>
        <v>0</v>
      </c>
      <c r="P155" s="37">
        <f>'[1]1º TRIMESTRE'!P155</f>
        <v>0</v>
      </c>
      <c r="Q155" s="37">
        <f>'[1]1º TRIMESTRE'!Q155</f>
        <v>0</v>
      </c>
      <c r="R155" s="48"/>
      <c r="S155" s="49"/>
      <c r="T155" s="42">
        <f>'[1]1º TRIMESTRE'!T155+S155</f>
        <v>0</v>
      </c>
      <c r="U155" s="42">
        <f>'[1]1º TRIMESTRE'!U155+S155</f>
        <v>0</v>
      </c>
      <c r="V155" s="36" t="s">
        <v>69</v>
      </c>
    </row>
    <row r="156" spans="1:22" ht="63" customHeight="1" x14ac:dyDescent="0.25">
      <c r="A156" s="35" t="s">
        <v>70</v>
      </c>
      <c r="B156" s="35" t="s">
        <v>65</v>
      </c>
      <c r="C156" s="36">
        <v>0</v>
      </c>
      <c r="D156" s="37">
        <v>0</v>
      </c>
      <c r="E156" s="37">
        <v>0</v>
      </c>
      <c r="F156" s="37">
        <v>0</v>
      </c>
      <c r="G156" s="35" t="s">
        <v>71</v>
      </c>
      <c r="H156" s="45" t="s">
        <v>72</v>
      </c>
      <c r="I156" s="37" t="s">
        <v>73</v>
      </c>
      <c r="J156" s="46">
        <v>45426</v>
      </c>
      <c r="K156" s="40">
        <v>270</v>
      </c>
      <c r="L156" s="47">
        <v>3019207.02</v>
      </c>
      <c r="M156" s="39">
        <f t="shared" si="2"/>
        <v>45696</v>
      </c>
      <c r="N156" s="41">
        <f>'[1]1º TRIMESTRE'!N156</f>
        <v>0</v>
      </c>
      <c r="O156" s="42">
        <f>'[1]1º TRIMESTRE'!O156</f>
        <v>0</v>
      </c>
      <c r="P156" s="37">
        <f>'[1]1º TRIMESTRE'!P156</f>
        <v>0</v>
      </c>
      <c r="Q156" s="37">
        <f>'[1]1º TRIMESTRE'!Q156</f>
        <v>0</v>
      </c>
      <c r="R156" s="48"/>
      <c r="S156" s="49"/>
      <c r="T156" s="42">
        <f>'[1]1º TRIMESTRE'!T156+S156</f>
        <v>0</v>
      </c>
      <c r="U156" s="42">
        <f>'[1]1º TRIMESTRE'!U156+S156</f>
        <v>0</v>
      </c>
      <c r="V156" s="37" t="s">
        <v>47</v>
      </c>
    </row>
    <row r="157" spans="1:22" ht="54" customHeight="1" x14ac:dyDescent="0.25">
      <c r="A157" s="35" t="s">
        <v>74</v>
      </c>
      <c r="B157" s="35" t="s">
        <v>75</v>
      </c>
      <c r="C157" s="36">
        <v>0</v>
      </c>
      <c r="D157" s="37">
        <v>0</v>
      </c>
      <c r="E157" s="37">
        <v>0</v>
      </c>
      <c r="F157" s="37">
        <v>0</v>
      </c>
      <c r="G157" s="35" t="s">
        <v>76</v>
      </c>
      <c r="H157" s="45" t="s">
        <v>77</v>
      </c>
      <c r="I157" s="37" t="s">
        <v>78</v>
      </c>
      <c r="J157" s="46">
        <v>45405</v>
      </c>
      <c r="K157" s="40">
        <v>210</v>
      </c>
      <c r="L157" s="47">
        <v>4506027.0999999996</v>
      </c>
      <c r="M157" s="39">
        <f t="shared" si="2"/>
        <v>45615</v>
      </c>
      <c r="N157" s="41">
        <f>'[1]1º TRIMESTRE'!N157</f>
        <v>0</v>
      </c>
      <c r="O157" s="42">
        <f>'[1]1º TRIMESTRE'!O157</f>
        <v>0</v>
      </c>
      <c r="P157" s="37">
        <f>'[1]1º TRIMESTRE'!P157</f>
        <v>0</v>
      </c>
      <c r="Q157" s="37">
        <f>'[1]1º TRIMESTRE'!Q157</f>
        <v>0</v>
      </c>
      <c r="R157" s="48"/>
      <c r="S157" s="49"/>
      <c r="T157" s="42">
        <f>'[1]1º TRIMESTRE'!T157+S157</f>
        <v>0</v>
      </c>
      <c r="U157" s="42">
        <f>'[1]1º TRIMESTRE'!U157+S157</f>
        <v>0</v>
      </c>
      <c r="V157" s="37" t="s">
        <v>47</v>
      </c>
    </row>
    <row r="158" spans="1:22" ht="50.25" customHeight="1" x14ac:dyDescent="0.25">
      <c r="A158" s="50" t="s">
        <v>79</v>
      </c>
      <c r="B158" s="50" t="s">
        <v>80</v>
      </c>
      <c r="C158" s="51">
        <v>0</v>
      </c>
      <c r="D158" s="52">
        <v>0</v>
      </c>
      <c r="E158" s="52">
        <v>0</v>
      </c>
      <c r="F158" s="52">
        <v>0</v>
      </c>
      <c r="G158" s="50" t="s">
        <v>55</v>
      </c>
      <c r="H158" s="53" t="s">
        <v>56</v>
      </c>
      <c r="I158" s="52" t="s">
        <v>81</v>
      </c>
      <c r="J158" s="54">
        <v>45408</v>
      </c>
      <c r="K158" s="55">
        <v>210</v>
      </c>
      <c r="L158" s="56">
        <v>4799599.6500000004</v>
      </c>
      <c r="M158" s="57">
        <f t="shared" si="2"/>
        <v>45618</v>
      </c>
      <c r="N158" s="41">
        <f>'[1]1º TRIMESTRE'!N158</f>
        <v>0</v>
      </c>
      <c r="O158" s="42">
        <f>'[1]1º TRIMESTRE'!O158</f>
        <v>0</v>
      </c>
      <c r="P158" s="37">
        <f>'[1]1º TRIMESTRE'!P158</f>
        <v>0</v>
      </c>
      <c r="Q158" s="37">
        <f>'[1]1º TRIMESTRE'!Q158</f>
        <v>0</v>
      </c>
      <c r="R158" s="58"/>
      <c r="S158" s="59"/>
      <c r="T158" s="42">
        <f>'[1]1º TRIMESTRE'!T158+S158</f>
        <v>0</v>
      </c>
      <c r="U158" s="42">
        <f>'[1]1º TRIMESTRE'!U158+S158</f>
        <v>0</v>
      </c>
      <c r="V158" s="51" t="s">
        <v>69</v>
      </c>
    </row>
    <row r="159" spans="1:22" ht="40.5" customHeight="1" x14ac:dyDescent="0.25">
      <c r="A159" s="35" t="s">
        <v>82</v>
      </c>
      <c r="B159" s="35" t="s">
        <v>83</v>
      </c>
      <c r="C159" s="36">
        <v>0</v>
      </c>
      <c r="D159" s="37">
        <v>0</v>
      </c>
      <c r="E159" s="37">
        <v>0</v>
      </c>
      <c r="F159" s="37">
        <v>0</v>
      </c>
      <c r="G159" s="35" t="s">
        <v>84</v>
      </c>
      <c r="H159" s="45" t="s">
        <v>85</v>
      </c>
      <c r="I159" s="37" t="s">
        <v>86</v>
      </c>
      <c r="J159" s="60"/>
      <c r="K159" s="40">
        <v>210</v>
      </c>
      <c r="L159" s="47">
        <v>5842815.0199999996</v>
      </c>
      <c r="M159" s="57">
        <f t="shared" si="2"/>
        <v>210</v>
      </c>
      <c r="N159" s="41">
        <f>'[1]1º TRIMESTRE'!N159</f>
        <v>0</v>
      </c>
      <c r="O159" s="42">
        <f>'[1]1º TRIMESTRE'!O159</f>
        <v>0</v>
      </c>
      <c r="P159" s="37">
        <f>'[1]1º TRIMESTRE'!P159</f>
        <v>0</v>
      </c>
      <c r="Q159" s="37">
        <f>'[1]1º TRIMESTRE'!Q159</f>
        <v>0</v>
      </c>
      <c r="R159" s="48"/>
      <c r="S159" s="49"/>
      <c r="T159" s="42">
        <f>'[1]1º TRIMESTRE'!T159+S159</f>
        <v>0</v>
      </c>
      <c r="U159" s="42">
        <f>'[1]1º TRIMESTRE'!U159+S159</f>
        <v>0</v>
      </c>
      <c r="V159" s="61" t="s">
        <v>87</v>
      </c>
    </row>
    <row r="160" spans="1:22" ht="51.75" customHeight="1" x14ac:dyDescent="0.25">
      <c r="A160" s="35" t="s">
        <v>88</v>
      </c>
      <c r="B160" s="35" t="s">
        <v>89</v>
      </c>
      <c r="C160" s="36">
        <v>0</v>
      </c>
      <c r="D160" s="37">
        <v>0</v>
      </c>
      <c r="E160" s="37">
        <v>0</v>
      </c>
      <c r="F160" s="37">
        <v>0</v>
      </c>
      <c r="G160" s="35" t="s">
        <v>90</v>
      </c>
      <c r="H160" s="45" t="s">
        <v>91</v>
      </c>
      <c r="I160" s="37" t="s">
        <v>92</v>
      </c>
      <c r="J160" s="46">
        <v>45429</v>
      </c>
      <c r="K160" s="40">
        <v>210</v>
      </c>
      <c r="L160" s="47">
        <v>1298135.29</v>
      </c>
      <c r="M160" s="39">
        <f t="shared" si="2"/>
        <v>45639</v>
      </c>
      <c r="N160" s="41">
        <f>'[1]1º TRIMESTRE'!N160</f>
        <v>0</v>
      </c>
      <c r="O160" s="42">
        <f>'[1]1º TRIMESTRE'!O160</f>
        <v>0</v>
      </c>
      <c r="P160" s="37">
        <f>'[1]1º TRIMESTRE'!P160</f>
        <v>0</v>
      </c>
      <c r="Q160" s="37">
        <f>'[1]1º TRIMESTRE'!Q160</f>
        <v>0</v>
      </c>
      <c r="R160" s="48"/>
      <c r="S160" s="49"/>
      <c r="T160" s="42">
        <f>'[1]1º TRIMESTRE'!T160+S160</f>
        <v>0</v>
      </c>
      <c r="U160" s="42">
        <f>'[1]1º TRIMESTRE'!U160+S160</f>
        <v>0</v>
      </c>
      <c r="V160" s="36" t="s">
        <v>69</v>
      </c>
    </row>
    <row r="161" spans="1:22" ht="40.5" customHeight="1" x14ac:dyDescent="0.25">
      <c r="A161" s="35" t="s">
        <v>93</v>
      </c>
      <c r="B161" s="62" t="s">
        <v>94</v>
      </c>
      <c r="C161" s="36">
        <v>0</v>
      </c>
      <c r="D161" s="37">
        <v>0</v>
      </c>
      <c r="E161" s="37">
        <v>0</v>
      </c>
      <c r="F161" s="37">
        <v>0</v>
      </c>
      <c r="G161" s="35" t="s">
        <v>84</v>
      </c>
      <c r="H161" s="45" t="s">
        <v>85</v>
      </c>
      <c r="I161" s="37" t="s">
        <v>95</v>
      </c>
      <c r="J161" s="60"/>
      <c r="K161" s="40">
        <v>210</v>
      </c>
      <c r="L161" s="47">
        <v>6076982.2000000002</v>
      </c>
      <c r="M161" s="39">
        <f t="shared" si="2"/>
        <v>210</v>
      </c>
      <c r="N161" s="41">
        <f>'[1]1º TRIMESTRE'!N161</f>
        <v>0</v>
      </c>
      <c r="O161" s="42">
        <f>'[1]1º TRIMESTRE'!O161</f>
        <v>0</v>
      </c>
      <c r="P161" s="37">
        <f>'[1]1º TRIMESTRE'!P161</f>
        <v>0</v>
      </c>
      <c r="Q161" s="37">
        <f>'[1]1º TRIMESTRE'!Q161</f>
        <v>0</v>
      </c>
      <c r="R161" s="48"/>
      <c r="S161" s="49"/>
      <c r="T161" s="42">
        <f>'[1]1º TRIMESTRE'!T161+S161</f>
        <v>0</v>
      </c>
      <c r="U161" s="42">
        <f>'[1]1º TRIMESTRE'!U161+S161</f>
        <v>0</v>
      </c>
      <c r="V161" s="61" t="s">
        <v>87</v>
      </c>
    </row>
    <row r="162" spans="1:22" ht="54" customHeight="1" x14ac:dyDescent="0.25">
      <c r="A162" s="35" t="s">
        <v>96</v>
      </c>
      <c r="B162" s="35" t="s">
        <v>97</v>
      </c>
      <c r="C162" s="36">
        <v>0</v>
      </c>
      <c r="D162" s="37">
        <v>0</v>
      </c>
      <c r="E162" s="37">
        <v>0</v>
      </c>
      <c r="F162" s="37">
        <v>0</v>
      </c>
      <c r="G162" s="35" t="s">
        <v>98</v>
      </c>
      <c r="H162" s="45" t="s">
        <v>99</v>
      </c>
      <c r="I162" s="37" t="s">
        <v>100</v>
      </c>
      <c r="J162" s="60"/>
      <c r="K162" s="40">
        <v>210</v>
      </c>
      <c r="L162" s="47">
        <v>11733511.439999999</v>
      </c>
      <c r="M162" s="39">
        <f t="shared" si="2"/>
        <v>210</v>
      </c>
      <c r="N162" s="41">
        <f>'[1]1º TRIMESTRE'!N162</f>
        <v>0</v>
      </c>
      <c r="O162" s="42">
        <f>'[1]1º TRIMESTRE'!O162</f>
        <v>0</v>
      </c>
      <c r="P162" s="37">
        <f>'[1]1º TRIMESTRE'!P162</f>
        <v>0</v>
      </c>
      <c r="Q162" s="37">
        <f>'[1]1º TRIMESTRE'!Q162</f>
        <v>0</v>
      </c>
      <c r="R162" s="48"/>
      <c r="S162" s="49"/>
      <c r="T162" s="42">
        <f>'[1]1º TRIMESTRE'!T162+S162</f>
        <v>0</v>
      </c>
      <c r="U162" s="42">
        <f>'[1]1º TRIMESTRE'!U162+S162</f>
        <v>0</v>
      </c>
      <c r="V162" s="61" t="s">
        <v>87</v>
      </c>
    </row>
    <row r="163" spans="1:22" ht="50.25" customHeight="1" x14ac:dyDescent="0.25">
      <c r="A163" s="35" t="s">
        <v>101</v>
      </c>
      <c r="B163" s="35" t="s">
        <v>102</v>
      </c>
      <c r="C163" s="36">
        <v>0</v>
      </c>
      <c r="D163" s="37">
        <v>0</v>
      </c>
      <c r="E163" s="37">
        <v>0</v>
      </c>
      <c r="F163" s="37">
        <v>0</v>
      </c>
      <c r="G163" s="35" t="s">
        <v>103</v>
      </c>
      <c r="H163" s="45" t="s">
        <v>104</v>
      </c>
      <c r="I163" s="37" t="s">
        <v>105</v>
      </c>
      <c r="J163" s="46">
        <v>45432</v>
      </c>
      <c r="K163" s="40">
        <v>410</v>
      </c>
      <c r="L163" s="47">
        <v>14167847.359999999</v>
      </c>
      <c r="M163" s="39">
        <f t="shared" si="2"/>
        <v>45842</v>
      </c>
      <c r="N163" s="41">
        <f>'[1]1º TRIMESTRE'!N163</f>
        <v>0</v>
      </c>
      <c r="O163" s="42">
        <f>'[1]1º TRIMESTRE'!O163</f>
        <v>0</v>
      </c>
      <c r="P163" s="37">
        <f>'[1]1º TRIMESTRE'!P163</f>
        <v>0</v>
      </c>
      <c r="Q163" s="37" t="s">
        <v>106</v>
      </c>
      <c r="R163" s="44">
        <v>2129241.12</v>
      </c>
      <c r="S163" s="44">
        <v>1606180.29</v>
      </c>
      <c r="T163" s="42">
        <f>'[1]1º TRIMESTRE'!T163+S163</f>
        <v>1606180.29</v>
      </c>
      <c r="U163" s="42">
        <f>'[1]1º TRIMESTRE'!U163+S163</f>
        <v>1606180.29</v>
      </c>
      <c r="V163" s="37" t="s">
        <v>47</v>
      </c>
    </row>
    <row r="164" spans="1:22" ht="51" customHeight="1" x14ac:dyDescent="0.25">
      <c r="A164" s="35" t="s">
        <v>107</v>
      </c>
      <c r="B164" s="35" t="s">
        <v>108</v>
      </c>
      <c r="C164" s="36">
        <v>0</v>
      </c>
      <c r="D164" s="37">
        <v>0</v>
      </c>
      <c r="E164" s="37">
        <v>0</v>
      </c>
      <c r="F164" s="37">
        <v>0</v>
      </c>
      <c r="G164" s="35" t="s">
        <v>109</v>
      </c>
      <c r="H164" s="45" t="s">
        <v>110</v>
      </c>
      <c r="I164" s="37" t="s">
        <v>111</v>
      </c>
      <c r="J164" s="46">
        <v>45434</v>
      </c>
      <c r="K164" s="40">
        <v>210</v>
      </c>
      <c r="L164" s="47">
        <v>1813639.09</v>
      </c>
      <c r="M164" s="39">
        <f t="shared" si="2"/>
        <v>45644</v>
      </c>
      <c r="N164" s="41">
        <f>'[1]1º TRIMESTRE'!N164</f>
        <v>0</v>
      </c>
      <c r="O164" s="42">
        <f>'[1]1º TRIMESTRE'!O164</f>
        <v>0</v>
      </c>
      <c r="P164" s="37">
        <f>'[1]1º TRIMESTRE'!P164</f>
        <v>0</v>
      </c>
      <c r="Q164" s="37">
        <f>'[1]1º TRIMESTRE'!Q164</f>
        <v>0</v>
      </c>
      <c r="R164" s="48"/>
      <c r="S164" s="49"/>
      <c r="T164" s="42">
        <f>'[1]1º TRIMESTRE'!T164+S164</f>
        <v>0</v>
      </c>
      <c r="U164" s="42">
        <f>'[1]1º TRIMESTRE'!U164+S164</f>
        <v>0</v>
      </c>
      <c r="V164" s="37" t="s">
        <v>47</v>
      </c>
    </row>
    <row r="165" spans="1:22" ht="44.25" customHeight="1" x14ac:dyDescent="0.25">
      <c r="A165" s="35" t="s">
        <v>112</v>
      </c>
      <c r="B165" s="35" t="s">
        <v>113</v>
      </c>
      <c r="C165" s="36">
        <v>0</v>
      </c>
      <c r="D165" s="37">
        <v>0</v>
      </c>
      <c r="E165" s="37">
        <v>0</v>
      </c>
      <c r="F165" s="37">
        <v>0</v>
      </c>
      <c r="G165" s="35" t="s">
        <v>114</v>
      </c>
      <c r="H165" s="45" t="s">
        <v>115</v>
      </c>
      <c r="I165" s="37" t="s">
        <v>116</v>
      </c>
      <c r="J165" s="46">
        <v>45453</v>
      </c>
      <c r="K165" s="40">
        <v>425</v>
      </c>
      <c r="L165" s="47">
        <v>271683</v>
      </c>
      <c r="M165" s="39">
        <f t="shared" si="2"/>
        <v>45878</v>
      </c>
      <c r="N165" s="41">
        <f>'[1]1º TRIMESTRE'!N165</f>
        <v>0</v>
      </c>
      <c r="O165" s="42">
        <f>'[1]1º TRIMESTRE'!O165</f>
        <v>0</v>
      </c>
      <c r="P165" s="37">
        <f>'[1]1º TRIMESTRE'!P165</f>
        <v>0</v>
      </c>
      <c r="Q165" s="37" t="s">
        <v>106</v>
      </c>
      <c r="R165" s="44">
        <v>32601.96</v>
      </c>
      <c r="S165" s="49"/>
      <c r="T165" s="42">
        <f>'[1]1º TRIMESTRE'!T165+S165</f>
        <v>0</v>
      </c>
      <c r="U165" s="42">
        <f>'[1]1º TRIMESTRE'!U165+S165</f>
        <v>0</v>
      </c>
      <c r="V165" s="37" t="s">
        <v>47</v>
      </c>
    </row>
    <row r="166" spans="1:22" ht="48.75" customHeight="1" x14ac:dyDescent="0.25">
      <c r="A166" s="35" t="s">
        <v>117</v>
      </c>
      <c r="B166" s="35" t="s">
        <v>118</v>
      </c>
      <c r="C166" s="36">
        <v>0</v>
      </c>
      <c r="D166" s="37">
        <v>0</v>
      </c>
      <c r="E166" s="37">
        <v>0</v>
      </c>
      <c r="F166" s="37">
        <v>0</v>
      </c>
      <c r="G166" s="35" t="s">
        <v>119</v>
      </c>
      <c r="H166" s="45" t="s">
        <v>120</v>
      </c>
      <c r="I166" s="37" t="s">
        <v>121</v>
      </c>
      <c r="J166" s="60"/>
      <c r="K166" s="40">
        <v>150</v>
      </c>
      <c r="L166" s="47">
        <v>1105056.48</v>
      </c>
      <c r="M166" s="39">
        <f t="shared" si="2"/>
        <v>150</v>
      </c>
      <c r="N166" s="41">
        <f>'[1]1º TRIMESTRE'!N166</f>
        <v>0</v>
      </c>
      <c r="O166" s="42">
        <f>'[1]1º TRIMESTRE'!O166</f>
        <v>0</v>
      </c>
      <c r="P166" s="37">
        <f>'[1]1º TRIMESTRE'!P166</f>
        <v>0</v>
      </c>
      <c r="Q166" s="37">
        <f>'[1]1º TRIMESTRE'!Q166</f>
        <v>0</v>
      </c>
      <c r="R166" s="48"/>
      <c r="S166" s="49"/>
      <c r="T166" s="42">
        <f>'[1]1º TRIMESTRE'!T166+S166</f>
        <v>0</v>
      </c>
      <c r="U166" s="42">
        <f>'[1]1º TRIMESTRE'!U166+S166</f>
        <v>0</v>
      </c>
      <c r="V166" s="61" t="s">
        <v>87</v>
      </c>
    </row>
    <row r="167" spans="1:22" ht="42.75" customHeight="1" x14ac:dyDescent="0.25">
      <c r="A167" s="35" t="s">
        <v>122</v>
      </c>
      <c r="B167" s="35" t="s">
        <v>123</v>
      </c>
      <c r="C167" s="36">
        <v>0</v>
      </c>
      <c r="D167" s="37">
        <v>0</v>
      </c>
      <c r="E167" s="37">
        <v>0</v>
      </c>
      <c r="F167" s="37">
        <v>0</v>
      </c>
      <c r="G167" s="35" t="s">
        <v>124</v>
      </c>
      <c r="H167" s="45" t="s">
        <v>125</v>
      </c>
      <c r="I167" s="37" t="s">
        <v>126</v>
      </c>
      <c r="J167" s="60"/>
      <c r="K167" s="40">
        <v>150</v>
      </c>
      <c r="L167" s="47">
        <v>2399635.7000000002</v>
      </c>
      <c r="M167" s="39">
        <f t="shared" si="2"/>
        <v>150</v>
      </c>
      <c r="N167" s="41">
        <f>'[1]1º TRIMESTRE'!N167</f>
        <v>0</v>
      </c>
      <c r="O167" s="42">
        <f>'[1]1º TRIMESTRE'!O167</f>
        <v>0</v>
      </c>
      <c r="P167" s="37">
        <f>'[1]1º TRIMESTRE'!P167</f>
        <v>0</v>
      </c>
      <c r="Q167" s="37">
        <f>'[1]1º TRIMESTRE'!Q167</f>
        <v>0</v>
      </c>
      <c r="R167" s="48"/>
      <c r="S167" s="49"/>
      <c r="T167" s="42">
        <f>'[1]1º TRIMESTRE'!T167+S167</f>
        <v>0</v>
      </c>
      <c r="U167" s="42">
        <f>'[1]1º TRIMESTRE'!U167+S167</f>
        <v>0</v>
      </c>
      <c r="V167" s="61" t="s">
        <v>87</v>
      </c>
    </row>
    <row r="168" spans="1:22" ht="39.75" customHeight="1" x14ac:dyDescent="0.25">
      <c r="A168" s="35" t="s">
        <v>127</v>
      </c>
      <c r="B168" s="35" t="s">
        <v>128</v>
      </c>
      <c r="C168" s="36">
        <v>0</v>
      </c>
      <c r="D168" s="37">
        <v>0</v>
      </c>
      <c r="E168" s="37">
        <v>0</v>
      </c>
      <c r="F168" s="37">
        <v>0</v>
      </c>
      <c r="G168" s="35" t="s">
        <v>129</v>
      </c>
      <c r="H168" s="45" t="s">
        <v>130</v>
      </c>
      <c r="I168" s="37" t="s">
        <v>131</v>
      </c>
      <c r="J168" s="46">
        <v>45461</v>
      </c>
      <c r="K168" s="40">
        <v>365</v>
      </c>
      <c r="L168" s="47">
        <v>1462790</v>
      </c>
      <c r="M168" s="39">
        <f t="shared" si="2"/>
        <v>45826</v>
      </c>
      <c r="N168" s="41">
        <f>'[1]1º TRIMESTRE'!N168</f>
        <v>0</v>
      </c>
      <c r="O168" s="42">
        <f>'[1]1º TRIMESTRE'!O168</f>
        <v>0</v>
      </c>
      <c r="P168" s="37">
        <f>'[1]1º TRIMESTRE'!P168</f>
        <v>0</v>
      </c>
      <c r="Q168" s="37">
        <f>'[1]1º TRIMESTRE'!Q168</f>
        <v>0</v>
      </c>
      <c r="R168" s="48"/>
      <c r="S168" s="49"/>
      <c r="T168" s="42">
        <f>'[1]1º TRIMESTRE'!T168+S168</f>
        <v>0</v>
      </c>
      <c r="U168" s="42">
        <f>'[1]1º TRIMESTRE'!U168+S168</f>
        <v>0</v>
      </c>
      <c r="V168" s="37" t="s">
        <v>47</v>
      </c>
    </row>
    <row r="169" spans="1:22" ht="60.75" customHeight="1" x14ac:dyDescent="0.25">
      <c r="A169" s="35" t="s">
        <v>132</v>
      </c>
      <c r="B169" s="35" t="s">
        <v>133</v>
      </c>
      <c r="C169" s="36">
        <v>0</v>
      </c>
      <c r="D169" s="37">
        <v>0</v>
      </c>
      <c r="E169" s="37">
        <v>0</v>
      </c>
      <c r="F169" s="37">
        <v>0</v>
      </c>
      <c r="G169" s="35" t="s">
        <v>134</v>
      </c>
      <c r="H169" s="45" t="s">
        <v>135</v>
      </c>
      <c r="I169" s="37" t="s">
        <v>136</v>
      </c>
      <c r="J169" s="46">
        <v>45434</v>
      </c>
      <c r="K169" s="40">
        <v>270</v>
      </c>
      <c r="L169" s="47">
        <v>9466852.4700000007</v>
      </c>
      <c r="M169" s="39">
        <f t="shared" si="2"/>
        <v>45704</v>
      </c>
      <c r="N169" s="41">
        <f>'[1]1º TRIMESTRE'!N169</f>
        <v>0</v>
      </c>
      <c r="O169" s="42">
        <f>'[1]1º TRIMESTRE'!O169</f>
        <v>0</v>
      </c>
      <c r="P169" s="37">
        <f>'[1]1º TRIMESTRE'!P169</f>
        <v>0</v>
      </c>
      <c r="Q169" s="37">
        <f>'[1]1º TRIMESTRE'!Q169</f>
        <v>0</v>
      </c>
      <c r="R169" s="48"/>
      <c r="S169" s="49"/>
      <c r="T169" s="42">
        <f>'[1]1º TRIMESTRE'!T169+S169</f>
        <v>0</v>
      </c>
      <c r="U169" s="42">
        <f>'[1]1º TRIMESTRE'!U169+S169</f>
        <v>0</v>
      </c>
      <c r="V169" s="37" t="s">
        <v>47</v>
      </c>
    </row>
    <row r="170" spans="1:22" ht="64.5" customHeight="1" x14ac:dyDescent="0.25">
      <c r="A170" s="35" t="s">
        <v>132</v>
      </c>
      <c r="B170" s="35" t="s">
        <v>137</v>
      </c>
      <c r="C170" s="36" t="s">
        <v>35</v>
      </c>
      <c r="D170" s="37" t="s">
        <v>36</v>
      </c>
      <c r="E170" s="37">
        <v>0</v>
      </c>
      <c r="F170" s="37">
        <v>0</v>
      </c>
      <c r="G170" s="35" t="s">
        <v>138</v>
      </c>
      <c r="H170" s="45" t="s">
        <v>139</v>
      </c>
      <c r="I170" s="37" t="s">
        <v>140</v>
      </c>
      <c r="J170" s="46">
        <v>45453</v>
      </c>
      <c r="K170" s="40">
        <v>270</v>
      </c>
      <c r="L170" s="47">
        <v>4918846.72</v>
      </c>
      <c r="M170" s="39">
        <f t="shared" si="2"/>
        <v>45723</v>
      </c>
      <c r="N170" s="41">
        <f>'[1]1º TRIMESTRE'!N170</f>
        <v>0</v>
      </c>
      <c r="O170" s="42">
        <f>'[1]1º TRIMESTRE'!O170</f>
        <v>0</v>
      </c>
      <c r="P170" s="37">
        <f>'[1]1º TRIMESTRE'!P170</f>
        <v>0</v>
      </c>
      <c r="Q170" s="37" t="s">
        <v>58</v>
      </c>
      <c r="R170" s="44">
        <v>444937.41</v>
      </c>
      <c r="S170" s="49"/>
      <c r="T170" s="42">
        <f>'[1]1º TRIMESTRE'!T170+S170</f>
        <v>0</v>
      </c>
      <c r="U170" s="42">
        <f>'[1]1º TRIMESTRE'!U170+S170</f>
        <v>0</v>
      </c>
      <c r="V170" s="37" t="s">
        <v>47</v>
      </c>
    </row>
    <row r="171" spans="1:22" ht="39.75" customHeight="1" x14ac:dyDescent="0.25">
      <c r="A171" s="35" t="s">
        <v>141</v>
      </c>
      <c r="B171" s="35" t="s">
        <v>142</v>
      </c>
      <c r="C171" s="36">
        <v>0</v>
      </c>
      <c r="D171" s="37">
        <v>0</v>
      </c>
      <c r="E171" s="37">
        <v>0</v>
      </c>
      <c r="F171" s="37">
        <v>0</v>
      </c>
      <c r="G171" s="35" t="s">
        <v>143</v>
      </c>
      <c r="H171" s="45" t="s">
        <v>144</v>
      </c>
      <c r="I171" s="37" t="s">
        <v>145</v>
      </c>
      <c r="J171" s="46">
        <v>45462</v>
      </c>
      <c r="K171" s="40">
        <v>210</v>
      </c>
      <c r="L171" s="47">
        <v>744999.99</v>
      </c>
      <c r="M171" s="39">
        <f t="shared" si="2"/>
        <v>45672</v>
      </c>
      <c r="N171" s="41">
        <f>'[1]1º TRIMESTRE'!N171</f>
        <v>0</v>
      </c>
      <c r="O171" s="42">
        <f>'[1]1º TRIMESTRE'!O171</f>
        <v>0</v>
      </c>
      <c r="P171" s="37">
        <f>'[1]1º TRIMESTRE'!P171</f>
        <v>0</v>
      </c>
      <c r="Q171" s="37">
        <f>'[1]1º TRIMESTRE'!Q171</f>
        <v>0</v>
      </c>
      <c r="R171" s="48"/>
      <c r="S171" s="49"/>
      <c r="T171" s="42">
        <f>'[1]1º TRIMESTRE'!T171+S171</f>
        <v>0</v>
      </c>
      <c r="U171" s="42">
        <f>'[1]1º TRIMESTRE'!U171+S171</f>
        <v>0</v>
      </c>
      <c r="V171" s="37" t="s">
        <v>47</v>
      </c>
    </row>
    <row r="172" spans="1:22" ht="42" customHeight="1" x14ac:dyDescent="0.25">
      <c r="A172" s="35" t="s">
        <v>146</v>
      </c>
      <c r="B172" s="35" t="s">
        <v>147</v>
      </c>
      <c r="C172" s="36">
        <v>0</v>
      </c>
      <c r="D172" s="37">
        <v>0</v>
      </c>
      <c r="E172" s="37">
        <v>0</v>
      </c>
      <c r="F172" s="37">
        <v>0</v>
      </c>
      <c r="G172" s="35" t="s">
        <v>148</v>
      </c>
      <c r="H172" s="45" t="s">
        <v>149</v>
      </c>
      <c r="I172" s="37" t="s">
        <v>150</v>
      </c>
      <c r="J172" s="60"/>
      <c r="K172" s="40">
        <v>90</v>
      </c>
      <c r="L172" s="47">
        <v>325648.98</v>
      </c>
      <c r="M172" s="39">
        <f t="shared" si="2"/>
        <v>90</v>
      </c>
      <c r="N172" s="41">
        <f>'[1]1º TRIMESTRE'!N172</f>
        <v>0</v>
      </c>
      <c r="O172" s="42">
        <f>'[1]1º TRIMESTRE'!O172</f>
        <v>0</v>
      </c>
      <c r="P172" s="37">
        <f>'[1]1º TRIMESTRE'!P172</f>
        <v>0</v>
      </c>
      <c r="Q172" s="37">
        <f>'[1]1º TRIMESTRE'!Q172</f>
        <v>0</v>
      </c>
      <c r="R172" s="48"/>
      <c r="S172" s="49"/>
      <c r="T172" s="42">
        <f>'[1]1º TRIMESTRE'!T172+S172</f>
        <v>0</v>
      </c>
      <c r="U172" s="42">
        <f>'[1]1º TRIMESTRE'!U172+S172</f>
        <v>0</v>
      </c>
      <c r="V172" s="61" t="s">
        <v>87</v>
      </c>
    </row>
  </sheetData>
  <mergeCells count="19">
    <mergeCell ref="V6:V7"/>
    <mergeCell ref="A5:C5"/>
    <mergeCell ref="F5:H5"/>
    <mergeCell ref="J5:O5"/>
    <mergeCell ref="Q5:V5"/>
    <mergeCell ref="A6:A7"/>
    <mergeCell ref="B6:B7"/>
    <mergeCell ref="C6:F6"/>
    <mergeCell ref="I6:M6"/>
    <mergeCell ref="N6:O6"/>
    <mergeCell ref="Q6:U6"/>
    <mergeCell ref="A1:V1"/>
    <mergeCell ref="A2:F2"/>
    <mergeCell ref="G2:V2"/>
    <mergeCell ref="A3:F3"/>
    <mergeCell ref="G3:V3"/>
    <mergeCell ref="F4:H4"/>
    <mergeCell ref="J4:O4"/>
    <mergeCell ref="Q4:V4"/>
  </mergeCells>
  <printOptions horizontalCentered="1"/>
  <pageMargins left="0.19685039370078741" right="0.31496062992125984" top="0.47244094488188981" bottom="0.51181102362204722" header="0.31496062992125984" footer="0.31496062992125984"/>
  <pageSetup paperSize="9" scale="50" fitToHeight="0" orientation="landscape" r:id="rId1"/>
  <headerFooter>
    <oddHeader>&amp;R&amp;D</oddHeader>
    <oddFooter>&amp;C&amp;P/&amp;N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1</vt:i4>
      </vt:variant>
      <vt:variant>
        <vt:lpstr>Intervalos Nomeados</vt:lpstr>
      </vt:variant>
      <vt:variant>
        <vt:i4>2</vt:i4>
      </vt:variant>
    </vt:vector>
  </HeadingPairs>
  <TitlesOfParts>
    <vt:vector size="3" baseType="lpstr">
      <vt:lpstr>2º TRIMESTRE</vt:lpstr>
      <vt:lpstr>'2º TRIMESTRE'!Area_de_impressao</vt:lpstr>
      <vt:lpstr>'2º TRIMESTRE'!Titulos_de_impressao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Tiago Mendes</dc:creator>
  <cp:lastModifiedBy>Tiago Mendes</cp:lastModifiedBy>
  <cp:lastPrinted>2024-11-26T14:41:50Z</cp:lastPrinted>
  <dcterms:created xsi:type="dcterms:W3CDTF">2024-11-26T14:41:36Z</dcterms:created>
  <dcterms:modified xsi:type="dcterms:W3CDTF">2024-11-26T14:42:18Z</dcterms:modified>
</cp:coreProperties>
</file>